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426"/>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72\"/>
    </mc:Choice>
  </mc:AlternateContent>
  <xr:revisionPtr revIDLastSave="0" documentId="13_ncr:1_{74F8BCB5-E573-4F5B-A9E0-9BFE09793C20}" xr6:coauthVersionLast="45" xr6:coauthVersionMax="45" xr10:uidLastSave="{00000000-0000-0000-0000-000000000000}"/>
  <bookViews>
    <workbookView xWindow="8985" yWindow="1335" windowWidth="15855" windowHeight="14220" tabRatio="842" xr2:uid="{00000000-000D-0000-FFFF-FFFF00000000}"/>
  </bookViews>
  <sheets>
    <sheet name="Formato" sheetId="316" r:id="rId1"/>
    <sheet name="Predial" sheetId="1019" r:id="rId2"/>
    <sheet name="FINANCIERO" sheetId="1020" r:id="rId3"/>
    <sheet name="Registro fotográfico social" sheetId="1017" r:id="rId4"/>
    <sheet name="Registro fotográfico redes" sheetId="966" r:id="rId5"/>
    <sheet name="Registro fotográfico técnico" sheetId="1013" r:id="rId6"/>
    <sheet name="Registro fotográfico túnel" sheetId="1014" r:id="rId7"/>
    <sheet name="Registro fotográfico puentes" sheetId="1015" r:id="rId8"/>
    <sheet name="Registro fotográfico OyM" sheetId="1018" r:id="rId9"/>
    <sheet name="Registro fotográfico ambiental" sheetId="1016"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8">#REF!</definedName>
    <definedName name="\0" localSheetId="7">#REF!</definedName>
    <definedName name="\0" localSheetId="5">#REF!</definedName>
    <definedName name="\0" localSheetId="6">#REF!</definedName>
    <definedName name="\0">#REF!</definedName>
    <definedName name="\d" localSheetId="8">#REF!</definedName>
    <definedName name="\d" localSheetId="5">#REF!</definedName>
    <definedName name="\d" localSheetId="6">#REF!</definedName>
    <definedName name="\d">#REF!</definedName>
    <definedName name="\g" localSheetId="8">#REF!</definedName>
    <definedName name="\g" localSheetId="5">#REF!</definedName>
    <definedName name="\g" localSheetId="6">#REF!</definedName>
    <definedName name="\g">#REF!</definedName>
    <definedName name="\m" localSheetId="5">#REF!</definedName>
    <definedName name="\m">#REF!</definedName>
    <definedName name="\n" localSheetId="5">#REF!</definedName>
    <definedName name="\n">#REF!</definedName>
    <definedName name="\p" localSheetId="5">#REF!</definedName>
    <definedName name="\p">#REF!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8">#REF!</definedName>
    <definedName name="_____________K1">#REF!</definedName>
    <definedName name="_____________L1" localSheetId="8">#REF!</definedName>
    <definedName name="_____________L1">#REF!</definedName>
    <definedName name="_____________L2" localSheetId="8">#REF!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8">#REF!</definedName>
    <definedName name="____________K1">#REF!</definedName>
    <definedName name="____________L1" localSheetId="8">#REF!</definedName>
    <definedName name="____________L1">#REF!</definedName>
    <definedName name="____________L2" localSheetId="8">#REF!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8">#REF!</definedName>
    <definedName name="___________a03">#REF!</definedName>
    <definedName name="___________A1" localSheetId="8">#REF!</definedName>
    <definedName name="___________A1">#REF!</definedName>
    <definedName name="___________A25" localSheetId="8">#REF!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8">#REF!</definedName>
    <definedName name="___________JJ1">#REF!</definedName>
    <definedName name="___________K1" localSheetId="8">#REF!</definedName>
    <definedName name="___________K1">#REF!</definedName>
    <definedName name="___________L1" localSheetId="8">#REF!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8">#REF!</definedName>
    <definedName name="__________K1">#REF!</definedName>
    <definedName name="__________L1" localSheetId="8">#REF!</definedName>
    <definedName name="__________L1">#REF!</definedName>
    <definedName name="__________L2" localSheetId="8">#REF!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8">#REF!</definedName>
    <definedName name="_________a03">#REF!</definedName>
    <definedName name="_________A1" localSheetId="8">#REF!</definedName>
    <definedName name="_________A1">#REF!</definedName>
    <definedName name="_________A25" localSheetId="8">#REF!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8">#REF!</definedName>
    <definedName name="_________JJ1">#REF!</definedName>
    <definedName name="_________K1" localSheetId="8">#REF!</definedName>
    <definedName name="_________K1">#REF!</definedName>
    <definedName name="_________L1" localSheetId="8">#REF!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8">#REF!</definedName>
    <definedName name="_________vz2">#REF!</definedName>
    <definedName name="________a03" localSheetId="8">#REF!</definedName>
    <definedName name="________a03">#REF!</definedName>
    <definedName name="________A1" localSheetId="8">#REF!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8">#REF!</definedName>
    <definedName name="________JJ1">#REF!</definedName>
    <definedName name="________K1" localSheetId="8">#REF!</definedName>
    <definedName name="________K1">#REF!</definedName>
    <definedName name="________L1" localSheetId="8">#REF!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8">#REF!</definedName>
    <definedName name="________vz2">#REF!</definedName>
    <definedName name="_______a03" localSheetId="8">#REF!</definedName>
    <definedName name="_______a03">#REF!</definedName>
    <definedName name="_______A1" localSheetId="8">#REF!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8">#REF!</definedName>
    <definedName name="_______JJ1">#REF!</definedName>
    <definedName name="_______K1" localSheetId="8">#REF!</definedName>
    <definedName name="_______K1" localSheetId="7">#REF!</definedName>
    <definedName name="_______K1" localSheetId="5">#REF!</definedName>
    <definedName name="_______K1" localSheetId="6">#REF!</definedName>
    <definedName name="_______K1">#REF!</definedName>
    <definedName name="_______L1" localSheetId="8">#REF!</definedName>
    <definedName name="_______L1" localSheetId="5">#REF!</definedName>
    <definedName name="_______L1" localSheetId="6">#REF!</definedName>
    <definedName name="_______L1">#REF!</definedName>
    <definedName name="_______L2" localSheetId="8">#REF!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8">#REF!</definedName>
    <definedName name="_______vz2">#REF!</definedName>
    <definedName name="______a03" localSheetId="8">#REF!</definedName>
    <definedName name="______a03">#REF!</definedName>
    <definedName name="______A1" localSheetId="8">#REF!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8">#REF!</definedName>
    <definedName name="______JJ1">#REF!</definedName>
    <definedName name="______K1" localSheetId="8">#REF!</definedName>
    <definedName name="______K1">#REF!</definedName>
    <definedName name="______L1" localSheetId="8">#REF!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8">#REF!</definedName>
    <definedName name="______vz2">#REF!</definedName>
    <definedName name="_____a03" localSheetId="8">#REF!</definedName>
    <definedName name="_____a03">#REF!</definedName>
    <definedName name="_____A1" localSheetId="8">#REF!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8">#REF!</definedName>
    <definedName name="_____JJ1">#REF!</definedName>
    <definedName name="_____K1" localSheetId="8">#REF!</definedName>
    <definedName name="_____K1" localSheetId="7">#REF!</definedName>
    <definedName name="_____K1" localSheetId="5">#REF!</definedName>
    <definedName name="_____K1" localSheetId="6">#REF!</definedName>
    <definedName name="_____K1">#REF!</definedName>
    <definedName name="_____L1" localSheetId="8">#REF!</definedName>
    <definedName name="_____L1" localSheetId="5">#REF!</definedName>
    <definedName name="_____L1" localSheetId="6">#REF!</definedName>
    <definedName name="_____L1">#REF!</definedName>
    <definedName name="_____L2" localSheetId="8">#REF!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8">#REF!</definedName>
    <definedName name="_____vz2">#REF!</definedName>
    <definedName name="____a03" localSheetId="8">#REF!</definedName>
    <definedName name="____a03">#REF!</definedName>
    <definedName name="____A1" localSheetId="8">#REF!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8">#REF!</definedName>
    <definedName name="____JJ1">#REF!</definedName>
    <definedName name="____K1" localSheetId="8">#REF!</definedName>
    <definedName name="____K1" localSheetId="7">#REF!</definedName>
    <definedName name="____K1" localSheetId="5">#REF!</definedName>
    <definedName name="____K1" localSheetId="6">#REF!</definedName>
    <definedName name="____K1">#REF!</definedName>
    <definedName name="____L1" localSheetId="8">#REF!</definedName>
    <definedName name="____L1" localSheetId="5">#REF!</definedName>
    <definedName name="____L1" localSheetId="6">#REF!</definedName>
    <definedName name="____L1">#REF!</definedName>
    <definedName name="____L2" localSheetId="8">#REF!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8">#REF!</definedName>
    <definedName name="____vz2">#REF!</definedName>
    <definedName name="___a03" localSheetId="8">#REF!</definedName>
    <definedName name="___a03">#REF!</definedName>
    <definedName name="___A1" localSheetId="8">#REF!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8">#REF!</definedName>
    <definedName name="___JJ1">#REF!</definedName>
    <definedName name="___K1" localSheetId="8">#REF!</definedName>
    <definedName name="___K1" localSheetId="7">#REF!</definedName>
    <definedName name="___K1" localSheetId="5">#REF!</definedName>
    <definedName name="___K1" localSheetId="6">#REF!</definedName>
    <definedName name="___K1">#REF!</definedName>
    <definedName name="___L1" localSheetId="8">#REF!</definedName>
    <definedName name="___L1" localSheetId="5">#REF!</definedName>
    <definedName name="___L1" localSheetId="6">#REF!</definedName>
    <definedName name="___L1">#REF!</definedName>
    <definedName name="___L2" localSheetId="8">#REF!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8">#REF!</definedName>
    <definedName name="___vz2">#REF!</definedName>
    <definedName name="__a03" localSheetId="8">#REF!</definedName>
    <definedName name="__a03">#REF!</definedName>
    <definedName name="__A1" localSheetId="8">#REF!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8">#REF!</definedName>
    <definedName name="__JJ1">#REF!</definedName>
    <definedName name="__K1" localSheetId="8">#REF!</definedName>
    <definedName name="__K1">#REF!</definedName>
    <definedName name="__L1" localSheetId="8">#REF!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8">#REF!</definedName>
    <definedName name="__vz2">#REF!</definedName>
    <definedName name="_a03" localSheetId="8">#REF!</definedName>
    <definedName name="_a03">#REF!</definedName>
    <definedName name="_A1" localSheetId="8">#REF!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5">#REF!</definedName>
    <definedName name="_fc" localSheetId="6">#REF!</definedName>
    <definedName name="_fc">#REF!</definedName>
    <definedName name="_xlnm._FilterDatabase" localSheetId="2" hidden="1">FINANCIERO!$A$4:$R$185</definedName>
    <definedName name="_G2" localSheetId="9">#REF!</definedName>
    <definedName name="_G2" localSheetId="8">#REF!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8">#REF!</definedName>
    <definedName name="_JJ1">#REF!</definedName>
    <definedName name="_K1" localSheetId="8">#REF!</definedName>
    <definedName name="_K1" localSheetId="7">#REF!</definedName>
    <definedName name="_K1" localSheetId="5">#REF!</definedName>
    <definedName name="_K1" localSheetId="6">#REF!</definedName>
    <definedName name="_K1">#REF!</definedName>
    <definedName name="_L1" localSheetId="8">#REF!</definedName>
    <definedName name="_L1" localSheetId="5">#REF!</definedName>
    <definedName name="_L1" localSheetId="6">#REF!</definedName>
    <definedName name="_L1">#REF!</definedName>
    <definedName name="_L2" localSheetId="8">#REF!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 localSheetId="5">#REF!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8">#REF!</definedName>
    <definedName name="alaaa">#REF!</definedName>
    <definedName name="alarg" localSheetId="8">#REF!</definedName>
    <definedName name="alarg">#REF!</definedName>
    <definedName name="_xlnm.Print_Area" localSheetId="2">FINANCIERO!$B$1:$L$209</definedName>
    <definedName name="_xlnm.Print_Area" localSheetId="1">Predial!$A$1:$I$46</definedName>
    <definedName name="_xlnm.Print_Area" localSheetId="9">'Registro fotográfico ambiental'!$B$1:$L$148</definedName>
    <definedName name="_xlnm.Print_Area" localSheetId="8">'Registro fotográfico OyM'!$B$1:$M$101</definedName>
    <definedName name="_xlnm.Print_Area" localSheetId="5">'Registro fotográfico técnico'!$B$1:$M$104</definedName>
    <definedName name="_xlnm.Print_Area" localSheetId="6">'Registro fotográfico túnel'!$B$1:$M$181</definedName>
    <definedName name="_xlnm.Print_Area">#N/A</definedName>
    <definedName name="arena" localSheetId="9">#REF!</definedName>
    <definedName name="arena" localSheetId="8">#REF!</definedName>
    <definedName name="arena">#REF!</definedName>
    <definedName name="asentamiento" localSheetId="8">#REF!</definedName>
    <definedName name="asentamiento" localSheetId="7">#REF!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8">[1]DATOS!#REF!</definedName>
    <definedName name="bbb" localSheetId="7">[1]DATOS!#REF!</definedName>
    <definedName name="bbb" localSheetId="3">[1]DATOS!#REF!</definedName>
    <definedName name="bbb" localSheetId="5">[1]DATOS!#REF!</definedName>
    <definedName name="bbb">[1]DATOS!#REF!</definedName>
    <definedName name="boor" localSheetId="9" hidden="1">[7]L!#REF!</definedName>
    <definedName name="boor" localSheetId="8"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8">#REF!</definedName>
    <definedName name="C.B.R._USME">#REF!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 localSheetId="9">[8]Hoja2!$C$9:$C$11</definedName>
    <definedName name="Cimiento" localSheetId="8">[8]Hoja2!$C$9:$C$11</definedName>
    <definedName name="Cimiento">[8]Hoja2!$C$9:$C$11</definedName>
    <definedName name="Clasificacion">[9]!Clasificacion</definedName>
    <definedName name="CLASIFICACION1" localSheetId="9">#REF!</definedName>
    <definedName name="CLASIFICACION1" localSheetId="8">#REF!</definedName>
    <definedName name="CLASIFICACION1">#REF!</definedName>
    <definedName name="CLASIFICACION2" localSheetId="8">#REF!</definedName>
    <definedName name="CLASIFICACION2">#REF!</definedName>
    <definedName name="CONCEPTO">'[6]Consignaciones CCS'!$G$8:$G$379</definedName>
    <definedName name="COTA" localSheetId="9">#REF!</definedName>
    <definedName name="COTA" localSheetId="8">#REF!</definedName>
    <definedName name="COTA">#REF!</definedName>
    <definedName name="CUA" localSheetId="8">#REF!</definedName>
    <definedName name="CUA" localSheetId="7">#REF!</definedName>
    <definedName name="CUA" localSheetId="5">#REF!</definedName>
    <definedName name="CUA" localSheetId="6">#REF!</definedName>
    <definedName name="CUA">#REF!</definedName>
    <definedName name="CUADR1">#REF!</definedName>
    <definedName name="CUADRO" localSheetId="8">#REF!</definedName>
    <definedName name="CUADRO" localSheetId="5">#REF!</definedName>
    <definedName name="CUADRO" localSheetId="6">#REF!</definedName>
    <definedName name="CUADRO">#REF!</definedName>
    <definedName name="CVBBB">#REF!</definedName>
    <definedName name="D" localSheetId="8">#REF!</definedName>
    <definedName name="D" localSheetId="5">#REF!</definedName>
    <definedName name="D" localSheetId="6">#REF!</definedName>
    <definedName name="D">#REF!</definedName>
    <definedName name="Datos" localSheetId="5">#REF!</definedName>
    <definedName name="Datos">#REF!</definedName>
    <definedName name="dddd">#REF!</definedName>
    <definedName name="DEPARTAMENTO" localSheetId="5">#REF!</definedName>
    <definedName name="DEPARTAMENTO">#REF!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8">#REF!</definedName>
    <definedName name="dgdgdg">#REF!</definedName>
    <definedName name="dgdgfe" localSheetId="8">#REF!</definedName>
    <definedName name="dgdgfe">#REF!</definedName>
    <definedName name="DIANA" localSheetId="8">#REF!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8">[1]DATOS!#REF!</definedName>
    <definedName name="enero" localSheetId="7">[1]DATOS!#REF!</definedName>
    <definedName name="enero">[1]DATOS!#REF!</definedName>
    <definedName name="EQUIV" localSheetId="9">#REF!</definedName>
    <definedName name="EQUIV" localSheetId="8">#REF!</definedName>
    <definedName name="EQUIV">#REF!</definedName>
    <definedName name="Estabilidad" localSheetId="8">#REF!</definedName>
    <definedName name="Estabilidad">#REF!</definedName>
    <definedName name="Estabilidad2" localSheetId="8">#REF!</definedName>
    <definedName name="Estabilidad2">#REF!</definedName>
    <definedName name="Estabilidad3">#REF!</definedName>
    <definedName name="ESTACION">'[6]Consignaciones CCS'!$A$8:$A$379</definedName>
    <definedName name="extracciom" localSheetId="9">#REF!</definedName>
    <definedName name="extracciom" localSheetId="8">#REF!</definedName>
    <definedName name="extracciom" localSheetId="7">#REF!</definedName>
    <definedName name="extracciom" localSheetId="5">#REF!</definedName>
    <definedName name="extracciom" localSheetId="6">#REF!</definedName>
    <definedName name="extracciom">#REF!</definedName>
    <definedName name="FacCorec2" localSheetId="8">#REF!</definedName>
    <definedName name="FacCorec2">#REF!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8">#REF!</definedName>
    <definedName name="fff">#REF!</definedName>
    <definedName name="FIRMA" localSheetId="9">INDIRECTOMIFOTO</definedName>
    <definedName name="FIRMA" localSheetId="8">INDIRECTOMIFOTO</definedName>
    <definedName name="FIRMA">INDIRECTOMIFOTO</definedName>
    <definedName name="Flujo" localSheetId="9">#REF!</definedName>
    <definedName name="Flujo" localSheetId="8">#REF!</definedName>
    <definedName name="Flujo">#REF!</definedName>
    <definedName name="Flujo2" localSheetId="8">#REF!</definedName>
    <definedName name="Flujo2">#REF!</definedName>
    <definedName name="Flujo3" localSheetId="8">#REF!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8">[1]DATOS!#REF!</definedName>
    <definedName name="ft" localSheetId="7">[1]DATOS!#REF!</definedName>
    <definedName name="ft" localSheetId="3">[1]DATOS!#REF!</definedName>
    <definedName name="ft" localSheetId="5">[1]DATOS!#REF!</definedName>
    <definedName name="ft">[1]DATOS!#REF!</definedName>
    <definedName name="Fuente" localSheetId="9">[15]Datos!#REF!</definedName>
    <definedName name="Fuente" localSheetId="8">[15]Datos!#REF!</definedName>
    <definedName name="Fuente">[15]Datos!#REF!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3">#REF!</definedName>
    <definedName name="GBR" localSheetId="5">#REF!</definedName>
    <definedName name="GBR" localSheetId="6">#REF!</definedName>
    <definedName name="GBR">#REF!</definedName>
    <definedName name="gdgd" localSheetId="8">#REF!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8">#REF!</definedName>
    <definedName name="GRA">#REF!</definedName>
    <definedName name="gradacion" localSheetId="8">#REF!</definedName>
    <definedName name="gradacion" localSheetId="7">#REF!</definedName>
    <definedName name="gradacion" localSheetId="5">#REF!</definedName>
    <definedName name="gradacion" localSheetId="6">#REF!</definedName>
    <definedName name="gradacion">#REF!</definedName>
    <definedName name="GRAF">#REF!</definedName>
    <definedName name="graNo">#REF!</definedName>
    <definedName name="h" localSheetId="7">[1]DATOS!#REF!</definedName>
    <definedName name="h" localSheetId="5">[1]DATOS!#REF!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5">#REF!</definedName>
    <definedName name="humedades" localSheetId="6">#REF!</definedName>
    <definedName name="humedades">#REF!</definedName>
    <definedName name="IMAGEN1" localSheetId="9">'[17]Datos Generales'!#REF!</definedName>
    <definedName name="IMAGEN1" localSheetId="8">'[17]Datos Generales'!#REF!</definedName>
    <definedName name="IMAGEN1">'[17]Datos Generales'!#REF!</definedName>
    <definedName name="IMAGEN2" localSheetId="9">'[17]Datos Generales'!#REF!</definedName>
    <definedName name="IMAGEN2" localSheetId="8">'[17]Datos Generales'!#REF!</definedName>
    <definedName name="IMAGEN2">'[17]Datos Generales'!#REF!</definedName>
    <definedName name="inf" localSheetId="2">#REF!</definedName>
    <definedName name="inf" localSheetId="1">#REF!</definedName>
    <definedName name="inf" localSheetId="9">#REF!</definedName>
    <definedName name="inf" localSheetId="8">#REF!</definedName>
    <definedName name="inf" localSheetId="3">#REF!</definedName>
    <definedName name="inf" localSheetId="5">#REF!</definedName>
    <definedName name="inf" localSheetId="6">#REF!</definedName>
    <definedName name="inf">#REF!</definedName>
    <definedName name="informe" localSheetId="8">#REF!</definedName>
    <definedName name="informe" localSheetId="5">#REF!</definedName>
    <definedName name="informe" localSheetId="6">#REF!</definedName>
    <definedName name="informe">#REF!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 localSheetId="9">#REF!</definedName>
    <definedName name="JUAN" localSheetId="8">#REF!</definedName>
    <definedName name="JUAN">#REF!</definedName>
    <definedName name="JUANA" localSheetId="8">#REF!</definedName>
    <definedName name="JUANA">#REF!</definedName>
    <definedName name="julio" localSheetId="8">#REF!</definedName>
    <definedName name="julio">#REF!</definedName>
    <definedName name="JUSNSNS">#REF!</definedName>
    <definedName name="K" localSheetId="5">#REF!</definedName>
    <definedName name="K">#REF!</definedName>
    <definedName name="KIU" localSheetId="5">#REF!</definedName>
    <definedName name="KIU">#REF!</definedName>
    <definedName name="KJUI" localSheetId="5">#REF!</definedName>
    <definedName name="KJUI">#REF!</definedName>
    <definedName name="KOIUIYUU" localSheetId="5">#REF!</definedName>
    <definedName name="KOIUIYUU">#REF!</definedName>
    <definedName name="KOP" localSheetId="5">#REF!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3">[1]DATOS!#REF!</definedName>
    <definedName name="lim.lim" localSheetId="5">[1]DATOS!#REF!</definedName>
    <definedName name="lim.lim">[1]DATOS!#REF!</definedName>
    <definedName name="limite" localSheetId="9">#REF!</definedName>
    <definedName name="limite" localSheetId="8">#REF!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8">#REF!</definedName>
    <definedName name="lll">#REF!</definedName>
    <definedName name="locali" localSheetId="8">#REF!</definedName>
    <definedName name="locali">#REF!</definedName>
    <definedName name="LUIS" localSheetId="8">#REF!</definedName>
    <definedName name="LUIS">#REF!</definedName>
    <definedName name="LUISJUAN">#REF!</definedName>
    <definedName name="lusi">#REF!</definedName>
    <definedName name="MATRIZ.D" localSheetId="8">#REF!</definedName>
    <definedName name="MATRIZ.D" localSheetId="7">#REF!</definedName>
    <definedName name="MATRIZ.D" localSheetId="5">#REF!</definedName>
    <definedName name="MATRIZ.D" localSheetId="6">#REF!</definedName>
    <definedName name="MATRIZ.D">#REF!</definedName>
    <definedName name="MATRIZ.E" localSheetId="7">'[19]EXTRACCIÓN (PARAFINADA)'!#REF!</definedName>
    <definedName name="MATRIZ.E" localSheetId="5">'[19]EXTRACCIÓN (PARAFINADA)'!#REF!</definedName>
    <definedName name="MATRIZ.E">'[19]EXTRACCIÓN (PARAFINADA)'!#REF!</definedName>
    <definedName name="MATRIZ.F" localSheetId="9">#REF!</definedName>
    <definedName name="MATRIZ.F" localSheetId="8">#REF!</definedName>
    <definedName name="MATRIZ.F">#REF!</definedName>
    <definedName name="MAURICIO" localSheetId="8">#REF!</definedName>
    <definedName name="MAURICIO">#REF!</definedName>
    <definedName name="msdmsdn" localSheetId="8">#REF!</definedName>
    <definedName name="msdmsdn" localSheetId="7">#REF!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8">#REF!</definedName>
    <definedName name="muestra">#REF!</definedName>
    <definedName name="MuestraNo" localSheetId="8">#REF!</definedName>
    <definedName name="MuestraNo">#REF!</definedName>
    <definedName name="NLL">"Rectángulo 9"</definedName>
    <definedName name="nnnnnn">[21]Lista!$B$17:$B$37</definedName>
    <definedName name="NORMA" localSheetId="9">#REF!</definedName>
    <definedName name="NORMA" localSheetId="8">#REF!</definedName>
    <definedName name="NORMA" localSheetId="7">#REF!</definedName>
    <definedName name="NORMA" localSheetId="5">#REF!</definedName>
    <definedName name="NORMA" localSheetId="6">#REF!</definedName>
    <definedName name="NORMA">#REF!</definedName>
    <definedName name="NORMAS" localSheetId="8">#REF!</definedName>
    <definedName name="NORMAS" localSheetId="5">#REF!</definedName>
    <definedName name="NORMAS" localSheetId="6">#REF!</definedName>
    <definedName name="NORMAS">#REF!</definedName>
    <definedName name="NOTAS">#REF!</definedName>
    <definedName name="ÑÑ">#REF!</definedName>
    <definedName name="ÑÑÑ">#REF!</definedName>
    <definedName name="obra" localSheetId="1">[2]DATOS!$B$1:$B$65536</definedName>
    <definedName name="obra">[1]DATOS!$B$1:$B$65536</definedName>
    <definedName name="observaciones" localSheetId="9">#REF!</definedName>
    <definedName name="observaciones" localSheetId="8">#REF!</definedName>
    <definedName name="observaciones">#REF!</definedName>
    <definedName name="P" localSheetId="8">#REF!</definedName>
    <definedName name="P" localSheetId="7">#REF!</definedName>
    <definedName name="P" localSheetId="5">#REF!</definedName>
    <definedName name="P" localSheetId="6">#REF!</definedName>
    <definedName name="P">#REF!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5">#REF!</definedName>
    <definedName name="porcentaje_finos" localSheetId="6">#REF!</definedName>
    <definedName name="porcentaje_finos">#REF!</definedName>
    <definedName name="porcentaje_gruesos" localSheetId="5">#REF!</definedName>
    <definedName name="porcentaje_gruesos">#REF!</definedName>
    <definedName name="PPP">#REF!</definedName>
    <definedName name="PPPP">#REF!</definedName>
    <definedName name="PPPPP">#REF!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8">#REF!</definedName>
    <definedName name="Proceso" localSheetId="5">#REF!</definedName>
    <definedName name="Proceso">#REF!</definedName>
    <definedName name="Procesos" localSheetId="8">#REF!</definedName>
    <definedName name="Procesos" localSheetId="5">#REF!</definedName>
    <definedName name="Procesos">#REF!</definedName>
    <definedName name="propiedades" localSheetId="8">#REF!</definedName>
    <definedName name="propiedades" localSheetId="5">#REF!</definedName>
    <definedName name="propiedades">#REF!</definedName>
    <definedName name="proporciones" localSheetId="5">#REF!</definedName>
    <definedName name="proporciones">#REF!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8">#REF!</definedName>
    <definedName name="reteido38">#REF!</definedName>
    <definedName name="reteido4" localSheetId="8">#REF!</definedName>
    <definedName name="reteido4">#REF!</definedName>
    <definedName name="Retenido1" localSheetId="8">#REF!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5">[1]DATOS!#REF!</definedName>
    <definedName name="RF">[1]DATOS!#REF!</definedName>
    <definedName name="RICE" localSheetId="9">#REF!</definedName>
    <definedName name="RICE" localSheetId="8">#REF!</definedName>
    <definedName name="RICE">#REF!</definedName>
    <definedName name="Roughness_Processed_BTAVCICD1" localSheetId="8">#REF!</definedName>
    <definedName name="Roughness_Processed_BTAVCICD1">#REF!</definedName>
    <definedName name="s4o" localSheetId="9">#REF!</definedName>
    <definedName name="s4o" localSheetId="8">#REF!</definedName>
    <definedName name="s4o" localSheetId="7">#REF!</definedName>
    <definedName name="s4o">#REF!</definedName>
    <definedName name="sdsd">[22]Lista!$B$4:$B$12</definedName>
    <definedName name="sjdjhfdggf" localSheetId="9">#REF!</definedName>
    <definedName name="sjdjhfdggf" localSheetId="8">#REF!</definedName>
    <definedName name="sjdjhfdggf">#REF!</definedName>
    <definedName name="slskjsjs" localSheetId="8">#REF!</definedName>
    <definedName name="slskjsjs">#REF!</definedName>
    <definedName name="smi" localSheetId="8">#REF!</definedName>
    <definedName name="smi">#REF!</definedName>
    <definedName name="sojo">#REF!</definedName>
    <definedName name="SOLI">#REF!</definedName>
    <definedName name="sososo">#REF!</definedName>
    <definedName name="ssdd">[22]Lista!$B$23:$B$43</definedName>
    <definedName name="SUELO" localSheetId="9">[23]Hoja1!$B$3:$B$5</definedName>
    <definedName name="SUELO">[24]Hoja1!$B$3:$B$5</definedName>
    <definedName name="sumatoria" localSheetId="9">#REF!</definedName>
    <definedName name="sumatoria" localSheetId="8">#REF!</definedName>
    <definedName name="sumatoria">#REF!</definedName>
    <definedName name="tamaño_maximo" localSheetId="8">#REF!</definedName>
    <definedName name="tamaño_maximo" localSheetId="7">#REF!</definedName>
    <definedName name="tamaño_maximo" localSheetId="5">#REF!</definedName>
    <definedName name="tamaño_maximo" localSheetId="6">#REF!</definedName>
    <definedName name="tamaño_maximo">#REF!</definedName>
    <definedName name="TAMICES">#REF!</definedName>
    <definedName name="TER" localSheetId="9">[8]Hoja2!$C$5:$C$7</definedName>
    <definedName name="TER" localSheetId="8">[8]Hoja2!$C$5:$C$7</definedName>
    <definedName name="TER">[8]Hoja2!$C$5:$C$7</definedName>
    <definedName name="TipoDeDocumento" localSheetId="9">#REF!</definedName>
    <definedName name="TipoDeDocumento" localSheetId="8">#REF!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ambiental'!$1:$3</definedName>
    <definedName name="_xlnm.Print_Titles" localSheetId="8">'Registro fotográfico OyM'!$A:$L,'Registro fotográfico OyM'!$1:$3</definedName>
    <definedName name="_xlnm.Print_Titles" localSheetId="5">'Registro fotográfico técnico'!$A:$L,'Registro fotográfico técnico'!$1:$3</definedName>
    <definedName name="_xlnm.Print_Titles" localSheetId="6">'Registro fotográfico túnel'!$A:$L,'Registro fotográfico túnel'!$1:$3</definedName>
    <definedName name="_xlnm.Print_Titles">#N/A</definedName>
    <definedName name="TT" localSheetId="9">#REF!</definedName>
    <definedName name="TT" localSheetId="8">#REF!</definedName>
    <definedName name="TT">#REF!</definedName>
    <definedName name="UIY" localSheetId="8">#REF!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8">#REF!</definedName>
    <definedName name="Volumen">#REF!</definedName>
    <definedName name="VOLUMEN1" localSheetId="8">#REF!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8">[1]DATOS!#REF!</definedName>
    <definedName name="yipitin" localSheetId="7">[1]DATOS!#REF!</definedName>
    <definedName name="yipitin" localSheetId="5">[1]DATOS!#REF!</definedName>
    <definedName name="yipitin">[1]DATOS!#REF!</definedName>
    <definedName name="Yipo" localSheetId="2">[1]DATOS!#REF!</definedName>
    <definedName name="Yipo" localSheetId="9">[1]DATOS!#REF!</definedName>
    <definedName name="Yipo" localSheetId="8">[1]DATOS!#REF!</definedName>
    <definedName name="Yipo" localSheetId="7">[1]DATOS!#REF!</definedName>
    <definedName name="Yipo">[1]DATOS!#REF!</definedName>
  </definedNames>
  <calcPr calcId="181029"/>
</workbook>
</file>

<file path=xl/calcChain.xml><?xml version="1.0" encoding="utf-8"?>
<calcChain xmlns="http://schemas.openxmlformats.org/spreadsheetml/2006/main">
  <c r="H14" i="1020" l="1"/>
  <c r="I15" i="1020"/>
  <c r="K15" i="1020" s="1"/>
  <c r="I16" i="1020"/>
  <c r="K16" i="1020"/>
  <c r="I17" i="1020"/>
  <c r="K17" i="1020" s="1"/>
  <c r="I18" i="1020"/>
  <c r="K18" i="1020"/>
  <c r="I19" i="1020"/>
  <c r="K19" i="1020" s="1"/>
  <c r="K124" i="1020" s="1"/>
  <c r="K128" i="1020" s="1"/>
  <c r="I20" i="1020"/>
  <c r="K20" i="1020"/>
  <c r="I21" i="1020"/>
  <c r="K21" i="1020" s="1"/>
  <c r="I22" i="1020"/>
  <c r="K22" i="1020"/>
  <c r="I23" i="1020"/>
  <c r="K23" i="1020" s="1"/>
  <c r="I24" i="1020"/>
  <c r="K24" i="1020"/>
  <c r="I25" i="1020"/>
  <c r="K25" i="1020" s="1"/>
  <c r="I26" i="1020"/>
  <c r="K26" i="1020"/>
  <c r="I27" i="1020"/>
  <c r="K27" i="1020" s="1"/>
  <c r="I28" i="1020"/>
  <c r="K28" i="1020"/>
  <c r="I29" i="1020"/>
  <c r="K29" i="1020" s="1"/>
  <c r="I30" i="1020"/>
  <c r="K30" i="1020"/>
  <c r="I31" i="1020"/>
  <c r="K31" i="1020" s="1"/>
  <c r="I32" i="1020"/>
  <c r="K32" i="1020"/>
  <c r="I33" i="1020"/>
  <c r="K33" i="1020" s="1"/>
  <c r="I34" i="1020"/>
  <c r="K34" i="1020"/>
  <c r="I35" i="1020"/>
  <c r="K35" i="1020" s="1"/>
  <c r="I36" i="1020"/>
  <c r="K36" i="1020"/>
  <c r="I37" i="1020"/>
  <c r="K37" i="1020" s="1"/>
  <c r="I38" i="1020"/>
  <c r="K38" i="1020"/>
  <c r="I39" i="1020"/>
  <c r="K39" i="1020" s="1"/>
  <c r="I40" i="1020"/>
  <c r="K40" i="1020"/>
  <c r="I41" i="1020"/>
  <c r="K41" i="1020" s="1"/>
  <c r="I42" i="1020"/>
  <c r="K42" i="1020"/>
  <c r="I43" i="1020"/>
  <c r="K43" i="1020" s="1"/>
  <c r="I44" i="1020"/>
  <c r="K44" i="1020"/>
  <c r="I45" i="1020"/>
  <c r="K45" i="1020" s="1"/>
  <c r="I46" i="1020"/>
  <c r="K46" i="1020"/>
  <c r="I47" i="1020"/>
  <c r="K47" i="1020" s="1"/>
  <c r="I48" i="1020"/>
  <c r="K48" i="1020"/>
  <c r="I49" i="1020"/>
  <c r="K49" i="1020" s="1"/>
  <c r="I50" i="1020"/>
  <c r="K50" i="1020"/>
  <c r="I51" i="1020"/>
  <c r="K51" i="1020" s="1"/>
  <c r="I52" i="1020"/>
  <c r="K52" i="1020"/>
  <c r="I53" i="1020"/>
  <c r="K53" i="1020" s="1"/>
  <c r="I54" i="1020"/>
  <c r="K54" i="1020"/>
  <c r="I55" i="1020"/>
  <c r="K55" i="1020" s="1"/>
  <c r="I56" i="1020"/>
  <c r="K56" i="1020"/>
  <c r="I57" i="1020"/>
  <c r="K57" i="1020" s="1"/>
  <c r="I58" i="1020"/>
  <c r="K58" i="1020"/>
  <c r="I59" i="1020"/>
  <c r="K59" i="1020" s="1"/>
  <c r="I60" i="1020"/>
  <c r="K60" i="1020"/>
  <c r="I61" i="1020"/>
  <c r="K61" i="1020" s="1"/>
  <c r="I62" i="1020"/>
  <c r="K62" i="1020"/>
  <c r="I63" i="1020"/>
  <c r="K63" i="1020" s="1"/>
  <c r="I64" i="1020"/>
  <c r="K64" i="1020"/>
  <c r="I65" i="1020"/>
  <c r="K65" i="1020" s="1"/>
  <c r="I66" i="1020"/>
  <c r="K66" i="1020"/>
  <c r="I67" i="1020"/>
  <c r="K67" i="1020" s="1"/>
  <c r="I68" i="1020"/>
  <c r="K68" i="1020"/>
  <c r="I69" i="1020"/>
  <c r="K69" i="1020" s="1"/>
  <c r="I70" i="1020"/>
  <c r="K70" i="1020"/>
  <c r="I71" i="1020"/>
  <c r="K71" i="1020" s="1"/>
  <c r="I72" i="1020"/>
  <c r="K72" i="1020"/>
  <c r="I73" i="1020"/>
  <c r="K73" i="1020" s="1"/>
  <c r="I74" i="1020"/>
  <c r="K74" i="1020"/>
  <c r="I75" i="1020"/>
  <c r="K75" i="1020" s="1"/>
  <c r="I76" i="1020"/>
  <c r="K76" i="1020"/>
  <c r="I77" i="1020"/>
  <c r="K77" i="1020" s="1"/>
  <c r="I78" i="1020"/>
  <c r="K78" i="1020"/>
  <c r="I79" i="1020"/>
  <c r="K79" i="1020" s="1"/>
  <c r="I80" i="1020"/>
  <c r="K80" i="1020"/>
  <c r="I81" i="1020"/>
  <c r="K81" i="1020" s="1"/>
  <c r="I82" i="1020"/>
  <c r="K82" i="1020"/>
  <c r="I83" i="1020"/>
  <c r="K83" i="1020" s="1"/>
  <c r="I84" i="1020"/>
  <c r="K84" i="1020"/>
  <c r="I85" i="1020"/>
  <c r="K85" i="1020" s="1"/>
  <c r="I86" i="1020"/>
  <c r="K86" i="1020"/>
  <c r="I87" i="1020"/>
  <c r="K87" i="1020" s="1"/>
  <c r="I88" i="1020"/>
  <c r="K88" i="1020"/>
  <c r="I89" i="1020"/>
  <c r="K89" i="1020" s="1"/>
  <c r="I90" i="1020"/>
  <c r="K90" i="1020"/>
  <c r="I91" i="1020"/>
  <c r="K91" i="1020" s="1"/>
  <c r="I92" i="1020"/>
  <c r="K92" i="1020"/>
  <c r="I93" i="1020"/>
  <c r="K93" i="1020" s="1"/>
  <c r="I94" i="1020"/>
  <c r="K94" i="1020"/>
  <c r="I95" i="1020"/>
  <c r="K95" i="1020" s="1"/>
  <c r="I96" i="1020"/>
  <c r="K96" i="1020"/>
  <c r="I97" i="1020"/>
  <c r="K97" i="1020" s="1"/>
  <c r="I98" i="1020"/>
  <c r="K98" i="1020"/>
  <c r="I99" i="1020"/>
  <c r="K99" i="1020" s="1"/>
  <c r="I100" i="1020"/>
  <c r="K100" i="1020"/>
  <c r="I101" i="1020"/>
  <c r="K101" i="1020" s="1"/>
  <c r="I102" i="1020"/>
  <c r="K102" i="1020"/>
  <c r="I103" i="1020"/>
  <c r="K103" i="1020" s="1"/>
  <c r="I104" i="1020"/>
  <c r="K104" i="1020"/>
  <c r="I105" i="1020"/>
  <c r="K105" i="1020" s="1"/>
  <c r="I106" i="1020"/>
  <c r="K106" i="1020"/>
  <c r="I107" i="1020"/>
  <c r="K107" i="1020" s="1"/>
  <c r="I108" i="1020"/>
  <c r="K108" i="1020"/>
  <c r="I109" i="1020"/>
  <c r="K109" i="1020" s="1"/>
  <c r="I110" i="1020"/>
  <c r="K110" i="1020"/>
  <c r="I111" i="1020"/>
  <c r="K111" i="1020" s="1"/>
  <c r="I112" i="1020"/>
  <c r="K112" i="1020"/>
  <c r="I113" i="1020"/>
  <c r="K113" i="1020" s="1"/>
  <c r="I114" i="1020"/>
  <c r="K114" i="1020"/>
  <c r="I115" i="1020"/>
  <c r="K115" i="1020" s="1"/>
  <c r="I116" i="1020"/>
  <c r="K116" i="1020"/>
  <c r="I117" i="1020"/>
  <c r="K117" i="1020" s="1"/>
  <c r="I118" i="1020"/>
  <c r="K118" i="1020"/>
  <c r="I119" i="1020"/>
  <c r="K119" i="1020" s="1"/>
  <c r="I120" i="1020"/>
  <c r="K120" i="1020"/>
  <c r="I121" i="1020"/>
  <c r="K121" i="1020" s="1"/>
  <c r="I122" i="1020"/>
  <c r="K122" i="1020"/>
  <c r="I123" i="1020"/>
  <c r="K123" i="1020" s="1"/>
  <c r="E124" i="1020"/>
  <c r="I125" i="1020"/>
  <c r="K125" i="1020" s="1"/>
  <c r="I126" i="1020"/>
  <c r="E128" i="1020"/>
  <c r="I133" i="1020"/>
  <c r="K133" i="1020" s="1"/>
  <c r="I134" i="1020"/>
  <c r="K134" i="1020" s="1"/>
  <c r="I135" i="1020"/>
  <c r="K135" i="1020" s="1"/>
  <c r="I136" i="1020"/>
  <c r="K136" i="1020" s="1"/>
  <c r="I137" i="1020"/>
  <c r="K137" i="1020" s="1"/>
  <c r="I138" i="1020"/>
  <c r="K138" i="1020" s="1"/>
  <c r="I139" i="1020"/>
  <c r="K139" i="1020" s="1"/>
  <c r="I140" i="1020"/>
  <c r="K140" i="1020" s="1"/>
  <c r="I141" i="1020"/>
  <c r="K141" i="1020" s="1"/>
  <c r="I142" i="1020"/>
  <c r="K142" i="1020" s="1"/>
  <c r="I143" i="1020"/>
  <c r="K143" i="1020" s="1"/>
  <c r="I144" i="1020"/>
  <c r="K144" i="1020" s="1"/>
  <c r="I145" i="1020"/>
  <c r="K145" i="1020" s="1"/>
  <c r="I146" i="1020"/>
  <c r="K146" i="1020" s="1"/>
  <c r="I147" i="1020"/>
  <c r="K147" i="1020" s="1"/>
  <c r="I148" i="1020"/>
  <c r="K148" i="1020" s="1"/>
  <c r="I149" i="1020"/>
  <c r="K149" i="1020" s="1"/>
  <c r="E150" i="1020"/>
  <c r="K150" i="1020" s="1"/>
  <c r="I150" i="1020"/>
  <c r="I151" i="1020"/>
  <c r="K151" i="1020"/>
  <c r="I152" i="1020"/>
  <c r="K152" i="1020" s="1"/>
  <c r="I153" i="1020"/>
  <c r="K153" i="1020"/>
  <c r="I154" i="1020"/>
  <c r="K154" i="1020" s="1"/>
  <c r="I155" i="1020"/>
  <c r="K155" i="1020"/>
  <c r="I156" i="1020"/>
  <c r="K156" i="1020" s="1"/>
  <c r="I157" i="1020"/>
  <c r="K157" i="1020"/>
  <c r="I158" i="1020"/>
  <c r="K158" i="1020" s="1"/>
  <c r="I159" i="1020"/>
  <c r="K159" i="1020"/>
  <c r="I160" i="1020"/>
  <c r="K160" i="1020" s="1"/>
  <c r="I161" i="1020"/>
  <c r="K161" i="1020"/>
  <c r="I162" i="1020"/>
  <c r="K162" i="1020" s="1"/>
  <c r="I163" i="1020"/>
  <c r="K163" i="1020"/>
  <c r="I164" i="1020"/>
  <c r="K164" i="1020" s="1"/>
  <c r="I165" i="1020"/>
  <c r="K165" i="1020"/>
  <c r="I166" i="1020"/>
  <c r="K166" i="1020" s="1"/>
  <c r="I170" i="1020"/>
  <c r="K170" i="1020"/>
  <c r="I171" i="1020"/>
  <c r="K171" i="1020" s="1"/>
  <c r="I172" i="1020"/>
  <c r="K172" i="1020"/>
  <c r="I173" i="1020"/>
  <c r="K173" i="1020" s="1"/>
  <c r="I174" i="1020"/>
  <c r="K174" i="1020"/>
  <c r="I175" i="1020"/>
  <c r="K175" i="1020" s="1"/>
  <c r="I176" i="1020"/>
  <c r="K176" i="1020"/>
  <c r="I177" i="1020"/>
  <c r="K177" i="1020" s="1"/>
  <c r="I178" i="1020"/>
  <c r="K178" i="1020"/>
  <c r="I179" i="1020"/>
  <c r="K179" i="1020" s="1"/>
  <c r="I180" i="1020"/>
  <c r="K180" i="1020"/>
  <c r="I181" i="1020"/>
  <c r="K181" i="1020" s="1"/>
  <c r="I182" i="1020"/>
  <c r="K182" i="1020"/>
  <c r="L182" i="1020" s="1"/>
  <c r="I183" i="1020"/>
  <c r="K183" i="1020" s="1"/>
  <c r="I190" i="1020"/>
  <c r="K190" i="1020" s="1"/>
  <c r="I191" i="1020"/>
  <c r="K191" i="1020" s="1"/>
  <c r="I192" i="1020"/>
  <c r="K192" i="1020" s="1"/>
  <c r="I193" i="1020"/>
  <c r="K193" i="1020" s="1"/>
  <c r="I194" i="1020"/>
  <c r="K194" i="1020" s="1"/>
  <c r="I195" i="1020"/>
  <c r="K195" i="1020" s="1"/>
  <c r="I196" i="1020"/>
  <c r="K196" i="1020" s="1"/>
  <c r="I197" i="1020"/>
  <c r="K197" i="1020" s="1"/>
  <c r="I198" i="1020"/>
  <c r="K198" i="1020" s="1"/>
  <c r="I199" i="1020"/>
  <c r="K199" i="1020" s="1"/>
  <c r="I200" i="1020"/>
  <c r="K200" i="1020" s="1"/>
  <c r="I204" i="1020"/>
  <c r="K204" i="1020" s="1"/>
  <c r="I205" i="1020"/>
  <c r="K205" i="1020" s="1"/>
  <c r="I206" i="1020"/>
  <c r="K206" i="1020" s="1"/>
  <c r="I207" i="1020"/>
  <c r="K207" i="1020" s="1"/>
  <c r="I208" i="1020"/>
  <c r="K208" i="1020" s="1"/>
  <c r="I209" i="1020"/>
  <c r="K209" i="1020" s="1"/>
  <c r="I210" i="1020"/>
  <c r="K210" i="1020" s="1"/>
  <c r="I211" i="1020"/>
  <c r="K211" i="1020" s="1"/>
  <c r="E212" i="1020"/>
  <c r="I212" i="1020"/>
  <c r="K212" i="1020"/>
  <c r="I213" i="1020"/>
  <c r="K213" i="1020" s="1"/>
  <c r="H214" i="1020"/>
  <c r="I214" i="1020"/>
  <c r="K214" i="1020" s="1"/>
  <c r="I215" i="1020"/>
  <c r="K215" i="1020" s="1"/>
  <c r="I216" i="1020"/>
  <c r="K216" i="1020" s="1"/>
  <c r="I217" i="1020"/>
  <c r="K217" i="1020" s="1"/>
  <c r="I218" i="1020"/>
  <c r="K218" i="1020" s="1"/>
  <c r="I219" i="1020"/>
  <c r="K219" i="1020" s="1"/>
  <c r="I220" i="1020"/>
  <c r="K220" i="1020" s="1"/>
  <c r="I221" i="1020"/>
  <c r="K221" i="1020" s="1"/>
  <c r="P224" i="1020"/>
  <c r="Q224" i="1020"/>
  <c r="R224" i="1020"/>
  <c r="I225" i="1020"/>
  <c r="K225" i="1020"/>
  <c r="N225" i="1020" s="1"/>
  <c r="I226" i="1020"/>
  <c r="K226" i="1020" s="1"/>
  <c r="I227" i="1020"/>
  <c r="K227" i="1020"/>
  <c r="I228" i="1020"/>
  <c r="K228" i="1020"/>
  <c r="I229" i="1020"/>
  <c r="K229" i="1020" s="1"/>
  <c r="I230" i="1020"/>
  <c r="K230" i="1020" s="1"/>
  <c r="I231" i="1020"/>
  <c r="K231" i="1020"/>
  <c r="I232" i="1020"/>
  <c r="K232" i="1020"/>
  <c r="I233" i="1020"/>
  <c r="K233" i="1020" s="1"/>
  <c r="I234" i="1020"/>
  <c r="K234" i="1020" s="1"/>
  <c r="I235" i="1020"/>
  <c r="K235" i="1020"/>
  <c r="I236" i="1020"/>
  <c r="K236" i="1020"/>
  <c r="I237" i="1020"/>
  <c r="K237" i="1020" s="1"/>
  <c r="I238" i="1020"/>
  <c r="K238" i="1020" s="1"/>
  <c r="I239" i="1020"/>
  <c r="K239" i="1020"/>
  <c r="I240" i="1020"/>
  <c r="K240" i="1020"/>
  <c r="I241" i="1020"/>
  <c r="K241" i="1020" s="1"/>
  <c r="I242" i="1020"/>
  <c r="K242" i="1020" s="1"/>
  <c r="I243" i="1020"/>
  <c r="K243" i="1020"/>
  <c r="I244" i="1020"/>
  <c r="K244" i="1020"/>
  <c r="I245" i="1020"/>
  <c r="K245" i="1020" s="1"/>
  <c r="I246" i="1020"/>
  <c r="K246" i="1020" s="1"/>
  <c r="I247" i="1020"/>
  <c r="K247" i="1020"/>
  <c r="I248" i="1020"/>
  <c r="K248" i="1020"/>
  <c r="I249" i="1020"/>
  <c r="K249" i="1020" s="1"/>
  <c r="I250" i="1020"/>
  <c r="K250" i="1020" s="1"/>
  <c r="I251" i="1020"/>
  <c r="K251" i="1020"/>
  <c r="I252" i="1020"/>
  <c r="K252" i="1020"/>
  <c r="I253" i="1020"/>
  <c r="K253" i="1020" s="1"/>
  <c r="I254" i="1020"/>
  <c r="K254" i="1020"/>
  <c r="I255" i="1020"/>
  <c r="K255" i="1020"/>
  <c r="E256" i="1020"/>
  <c r="I256" i="1020"/>
  <c r="K256" i="1020"/>
  <c r="I257" i="1020"/>
  <c r="K257" i="1020"/>
  <c r="I258" i="1020"/>
  <c r="K258" i="1020" s="1"/>
  <c r="I259" i="1020"/>
  <c r="K259" i="1020"/>
  <c r="I260" i="1020"/>
  <c r="K260" i="1020"/>
  <c r="I261" i="1020"/>
  <c r="K261" i="1020"/>
  <c r="I262" i="1020"/>
  <c r="K262" i="1020" s="1"/>
  <c r="I263" i="1020"/>
  <c r="K263" i="1020"/>
  <c r="I264" i="1020"/>
  <c r="K264" i="1020" s="1"/>
  <c r="I265" i="1020"/>
  <c r="K265" i="1020"/>
  <c r="I266" i="1020"/>
  <c r="K266" i="1020" s="1"/>
  <c r="I267" i="1020"/>
  <c r="K267" i="1020"/>
  <c r="I268" i="1020"/>
  <c r="E269" i="1020"/>
  <c r="K269" i="1020" s="1"/>
  <c r="I269" i="1020"/>
  <c r="H270" i="1020"/>
  <c r="H278" i="1020" s="1"/>
  <c r="I273" i="1020"/>
  <c r="K273" i="1020"/>
  <c r="K277" i="1020" s="1"/>
  <c r="L277" i="1020" s="1"/>
  <c r="I274" i="1020"/>
  <c r="I275" i="1020"/>
  <c r="K275" i="1020" s="1"/>
  <c r="I276" i="1020"/>
  <c r="E276" i="1020" s="1"/>
  <c r="E268" i="1020" s="1"/>
  <c r="E277" i="1020"/>
  <c r="H277" i="1020"/>
  <c r="I285" i="1020"/>
  <c r="K285" i="1020" s="1"/>
  <c r="I295" i="1020"/>
  <c r="K295" i="1020" s="1"/>
  <c r="E296" i="1020"/>
  <c r="I296" i="1020"/>
  <c r="K296" i="1020"/>
  <c r="I297" i="1020"/>
  <c r="K297" i="1020" s="1"/>
  <c r="I298" i="1020"/>
  <c r="K298" i="1020"/>
  <c r="I299" i="1020"/>
  <c r="K299" i="1020" s="1"/>
  <c r="I300" i="1020"/>
  <c r="K300" i="1020"/>
  <c r="E301" i="1020"/>
  <c r="K301" i="1020" s="1"/>
  <c r="I301" i="1020"/>
  <c r="I302" i="1020"/>
  <c r="K302" i="1020"/>
  <c r="I303" i="1020"/>
  <c r="K303" i="1020" s="1"/>
  <c r="I304" i="1020"/>
  <c r="K304" i="1020"/>
  <c r="I305" i="1020"/>
  <c r="K305" i="1020" s="1"/>
  <c r="I306" i="1020"/>
  <c r="K306" i="1020" s="1"/>
  <c r="I307" i="1020"/>
  <c r="K307" i="1020" s="1"/>
  <c r="I308" i="1020"/>
  <c r="K308" i="1020" s="1"/>
  <c r="I309" i="1020"/>
  <c r="K309" i="1020" s="1"/>
  <c r="I310" i="1020"/>
  <c r="K310" i="1020"/>
  <c r="I311" i="1020"/>
  <c r="K311" i="1020" s="1"/>
  <c r="I312" i="1020"/>
  <c r="K312" i="1020" s="1"/>
  <c r="I313" i="1020"/>
  <c r="K313" i="1020" s="1"/>
  <c r="I314" i="1020"/>
  <c r="K314" i="1020"/>
  <c r="I315" i="1020"/>
  <c r="I316" i="1020"/>
  <c r="I317" i="1020"/>
  <c r="K317" i="1020"/>
  <c r="I320" i="1020"/>
  <c r="K320" i="1020" s="1"/>
  <c r="I321" i="1020"/>
  <c r="K321" i="1020" s="1"/>
  <c r="I322" i="1020"/>
  <c r="K322" i="1020" s="1"/>
  <c r="I323" i="1020"/>
  <c r="K323" i="1020"/>
  <c r="E324" i="1020"/>
  <c r="H324" i="1020"/>
  <c r="I329" i="1020"/>
  <c r="K329" i="1020" s="1"/>
  <c r="I330" i="1020"/>
  <c r="K330" i="1020"/>
  <c r="I331" i="1020"/>
  <c r="K331" i="1020" s="1"/>
  <c r="H336" i="1020"/>
  <c r="K270" i="1020" l="1"/>
  <c r="N228" i="1020"/>
  <c r="N229" i="1020" s="1"/>
  <c r="N230" i="1020" s="1"/>
  <c r="N231" i="1020" s="1"/>
  <c r="N232" i="1020" s="1"/>
  <c r="N233" i="1020" s="1"/>
  <c r="N234" i="1020" s="1"/>
  <c r="N235" i="1020" s="1"/>
  <c r="N236" i="1020" s="1"/>
  <c r="N237" i="1020" s="1"/>
  <c r="N238" i="1020" s="1"/>
  <c r="N239" i="1020" s="1"/>
  <c r="N240" i="1020" s="1"/>
  <c r="N241" i="1020" s="1"/>
  <c r="N242" i="1020" s="1"/>
  <c r="N243" i="1020" s="1"/>
  <c r="N244" i="1020" s="1"/>
  <c r="N245" i="1020" s="1"/>
  <c r="N246" i="1020" s="1"/>
  <c r="N247" i="1020" s="1"/>
  <c r="N248" i="1020" s="1"/>
  <c r="N249" i="1020" s="1"/>
  <c r="N250" i="1020" s="1"/>
  <c r="N251" i="1020" s="1"/>
  <c r="N252" i="1020" s="1"/>
  <c r="N253" i="1020" s="1"/>
  <c r="N254" i="1020" s="1"/>
  <c r="N255" i="1020" s="1"/>
  <c r="N256" i="1020" s="1"/>
  <c r="N257" i="1020" s="1"/>
  <c r="N258" i="1020" s="1"/>
  <c r="N259" i="1020" s="1"/>
  <c r="N260" i="1020" s="1"/>
  <c r="N261" i="1020" s="1"/>
  <c r="N262" i="1020" s="1"/>
  <c r="N263" i="1020" s="1"/>
  <c r="N264" i="1020" s="1"/>
  <c r="N226" i="1020"/>
  <c r="K324" i="1020"/>
  <c r="L324" i="1020" s="1"/>
  <c r="K268" i="1020"/>
  <c r="E270" i="1020"/>
  <c r="E278" i="1020" s="1"/>
  <c r="N227" i="1020"/>
  <c r="P226" i="1020"/>
  <c r="L270" i="1020" l="1"/>
  <c r="K278" i="1020"/>
  <c r="Q226" i="1020"/>
  <c r="L278" i="1020" l="1"/>
  <c r="R226" i="1020"/>
  <c r="Q54" i="1019" l="1"/>
  <c r="Q53" i="1019"/>
  <c r="P52" i="1019"/>
  <c r="O52" i="1019"/>
  <c r="N52" i="1019"/>
  <c r="P51" i="1019"/>
  <c r="Q51" i="1019" s="1"/>
  <c r="Q50" i="1019"/>
  <c r="P49" i="1019"/>
  <c r="O49" i="1019"/>
  <c r="N49" i="1019"/>
  <c r="Q49" i="1019" s="1"/>
  <c r="Q48" i="1019"/>
  <c r="Q47" i="1019"/>
  <c r="P46" i="1019"/>
  <c r="O46" i="1019"/>
  <c r="N46" i="1019"/>
  <c r="Q46" i="1019" s="1"/>
  <c r="Q45" i="1019"/>
  <c r="Q44" i="1019"/>
  <c r="Q43" i="1019"/>
  <c r="O43" i="1019"/>
  <c r="N43" i="1019"/>
  <c r="Q42" i="1019"/>
  <c r="G42" i="1019"/>
  <c r="Q41" i="1019"/>
  <c r="O40" i="1019"/>
  <c r="N40" i="1019"/>
  <c r="Q40" i="1019" s="1"/>
  <c r="M40" i="1019"/>
  <c r="M52" i="1019" s="1"/>
  <c r="Q52" i="1019" s="1"/>
  <c r="G40" i="1019"/>
  <c r="Q39" i="1019"/>
  <c r="G39" i="1019"/>
  <c r="Q38" i="1019"/>
  <c r="G38" i="1019"/>
  <c r="O37" i="1019"/>
  <c r="N37" i="1019"/>
  <c r="Q37" i="1019" s="1"/>
  <c r="G37" i="1019"/>
  <c r="Q36" i="1019"/>
  <c r="G36" i="1019"/>
  <c r="Q35" i="1019"/>
  <c r="G35" i="1019"/>
  <c r="O34" i="1019"/>
  <c r="Q34" i="1019" s="1"/>
  <c r="G34" i="1019"/>
  <c r="O33" i="1019"/>
  <c r="Q33" i="1019" s="1"/>
  <c r="G33" i="1019"/>
  <c r="O32" i="1019"/>
  <c r="Q32" i="1019" s="1"/>
  <c r="G32" i="1019"/>
  <c r="P31" i="1019"/>
  <c r="O31" i="1019"/>
  <c r="N31" i="1019"/>
  <c r="M31" i="1019"/>
  <c r="Q31" i="1019" s="1"/>
  <c r="G31" i="1019"/>
  <c r="O30" i="1019"/>
  <c r="N30" i="1019"/>
  <c r="Q30" i="1019" s="1"/>
  <c r="M30" i="1019"/>
  <c r="G30" i="1019"/>
  <c r="O29" i="1019"/>
  <c r="Q29" i="1019" s="1"/>
  <c r="N29" i="1019"/>
  <c r="G29" i="1019"/>
  <c r="G28" i="1019"/>
  <c r="Q27" i="1019"/>
  <c r="G27" i="1019"/>
  <c r="Q26" i="1019"/>
  <c r="G26" i="1019"/>
  <c r="N25" i="1019"/>
  <c r="M25" i="1019"/>
  <c r="G25" i="1019"/>
  <c r="Q24" i="1019"/>
  <c r="G24" i="1019"/>
  <c r="Q23" i="1019"/>
  <c r="G23" i="1019"/>
  <c r="P22" i="1019"/>
  <c r="P28" i="1019" s="1"/>
  <c r="O22" i="1019"/>
  <c r="O28" i="1019" s="1"/>
  <c r="N22" i="1019"/>
  <c r="N28" i="1019" s="1"/>
  <c r="M22" i="1019"/>
  <c r="M28" i="1019" s="1"/>
  <c r="Q28" i="1019" s="1"/>
  <c r="G22" i="1019"/>
  <c r="O21" i="1019"/>
  <c r="N21" i="1019"/>
  <c r="M21" i="1019"/>
  <c r="Q21" i="1019" s="1"/>
  <c r="G21" i="1019"/>
  <c r="O20" i="1019"/>
  <c r="N20" i="1019"/>
  <c r="G20" i="1019"/>
  <c r="P19" i="1019"/>
  <c r="P25" i="1019" s="1"/>
  <c r="O19" i="1019"/>
  <c r="O25" i="1019" s="1"/>
  <c r="N19" i="1019"/>
  <c r="M19" i="1019"/>
  <c r="Q19" i="1019" s="1"/>
  <c r="G19" i="1019"/>
  <c r="Q18" i="1019"/>
  <c r="G18" i="1019"/>
  <c r="Q17" i="1019"/>
  <c r="G17" i="1019"/>
  <c r="P16" i="1019"/>
  <c r="O16" i="1019"/>
  <c r="N16" i="1019"/>
  <c r="M16" i="1019"/>
  <c r="Q16" i="1019" s="1"/>
  <c r="G16" i="1019"/>
  <c r="Q15" i="1019"/>
  <c r="G15" i="1019"/>
  <c r="Q14" i="1019"/>
  <c r="G14" i="1019"/>
  <c r="P13" i="1019"/>
  <c r="O13" i="1019"/>
  <c r="N13" i="1019"/>
  <c r="M13" i="1019"/>
  <c r="Q13" i="1019" s="1"/>
  <c r="G13" i="1019"/>
  <c r="Q12" i="1019"/>
  <c r="P12" i="1019"/>
  <c r="P21" i="1019" s="1"/>
  <c r="N12" i="1019"/>
  <c r="M12" i="1019"/>
  <c r="G12" i="1019"/>
  <c r="E12" i="1019"/>
  <c r="D12" i="1019"/>
  <c r="P11" i="1019"/>
  <c r="P20" i="1019" s="1"/>
  <c r="Q20" i="1019" s="1"/>
  <c r="N11" i="1019"/>
  <c r="M11" i="1019"/>
  <c r="E11" i="1019"/>
  <c r="G11" i="1019" s="1"/>
  <c r="D11" i="1019"/>
  <c r="Q10" i="1019"/>
  <c r="G10" i="1019"/>
  <c r="Q25" i="1019" l="1"/>
  <c r="Q11" i="1019"/>
  <c r="Q22" i="1019"/>
  <c r="S385" i="316"/>
  <c r="S384" i="316"/>
  <c r="S382" i="316"/>
  <c r="S383" i="316" s="1"/>
  <c r="S381" i="316"/>
  <c r="F281" i="316" l="1"/>
  <c r="J281" i="316" l="1"/>
  <c r="E155" i="316"/>
  <c r="G142" i="316" s="1"/>
  <c r="F204" i="316"/>
  <c r="J204" i="316" s="1"/>
  <c r="E261" i="316"/>
  <c r="I261" i="316" s="1"/>
  <c r="G147" i="316"/>
  <c r="J294" i="316"/>
  <c r="E284" i="316"/>
  <c r="C284" i="316"/>
  <c r="D264" i="316"/>
  <c r="B264" i="316"/>
  <c r="J246" i="316"/>
  <c r="E207" i="316"/>
  <c r="C207" i="316"/>
  <c r="D158" i="316"/>
  <c r="B158" i="316"/>
  <c r="K149" i="316"/>
  <c r="E149" i="316"/>
  <c r="G284" i="316"/>
  <c r="H147" i="316"/>
  <c r="K146" i="316"/>
  <c r="H146" i="316"/>
  <c r="G146" i="316"/>
  <c r="K145" i="316"/>
  <c r="F264" i="316" s="1"/>
  <c r="H145" i="316"/>
  <c r="K144" i="316"/>
  <c r="G249" i="316" s="1"/>
  <c r="H249" i="316" s="1"/>
  <c r="H144" i="316"/>
  <c r="G144" i="316"/>
  <c r="K143" i="316"/>
  <c r="G207" i="316" s="1"/>
  <c r="H143" i="316"/>
  <c r="K142" i="316"/>
  <c r="F158" i="316" s="1"/>
  <c r="H142" i="316"/>
  <c r="H149" i="316" l="1"/>
  <c r="G143" i="316"/>
  <c r="I155" i="316"/>
  <c r="G145" i="316"/>
  <c r="G149" i="31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Financiero</author>
  </authors>
  <commentList>
    <comment ref="M256" authorId="0" shapeId="0" xr:uid="{00000000-0006-0000-0000-000001000000}">
      <text>
        <r>
          <rPr>
            <b/>
            <sz val="9"/>
            <color indexed="81"/>
            <rFont val="Tahoma"/>
            <family val="2"/>
          </rPr>
          <t>Financiero:</t>
        </r>
        <r>
          <rPr>
            <sz val="9"/>
            <color indexed="81"/>
            <rFont val="Tahoma"/>
            <family val="2"/>
          </rPr>
          <t xml:space="preserve">
Valor del fondeo 5.655.984.726</t>
        </r>
      </text>
    </comment>
  </commentList>
</comments>
</file>

<file path=xl/sharedStrings.xml><?xml version="1.0" encoding="utf-8"?>
<sst xmlns="http://schemas.openxmlformats.org/spreadsheetml/2006/main" count="3299" uniqueCount="1377">
  <si>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</si>
  <si>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</si>
  <si>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</si>
  <si>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</si>
  <si>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</si>
  <si>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</si>
  <si>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</si>
  <si>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</si>
  <si>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</si>
  <si>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</si>
  <si>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</si>
  <si>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</si>
  <si>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</si>
  <si>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</si>
  <si>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</si>
  <si>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</si>
  <si>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</si>
  <si>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</si>
  <si>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</si>
  <si>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</si>
  <si>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</si>
  <si>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</si>
  <si>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</si>
  <si>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</si>
  <si>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</si>
  <si>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</si>
  <si>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</si>
  <si>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</si>
  <si>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</si>
  <si>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</si>
  <si>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</si>
  <si>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</si>
  <si>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</si>
  <si>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</si>
  <si>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</si>
  <si>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</si>
  <si>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</si>
  <si>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</si>
  <si>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</si>
  <si>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</si>
  <si>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</si>
  <si>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</si>
  <si>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</si>
  <si>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</si>
  <si>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</si>
  <si>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</si>
  <si>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</si>
  <si>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</si>
  <si>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</si>
  <si>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</si>
  <si>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</si>
  <si>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</si>
  <si>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</si>
  <si>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</si>
  <si>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</si>
  <si>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</si>
  <si>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</si>
  <si>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</si>
  <si>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</si>
  <si>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</si>
  <si>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</si>
  <si>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</si>
  <si>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</si>
  <si>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</si>
  <si>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</si>
  <si>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</si>
  <si>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</si>
  <si>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</si>
  <si>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</si>
  <si>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</si>
  <si>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</si>
  <si>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</si>
  <si>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</si>
  <si>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</si>
  <si>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</si>
  <si>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</si>
  <si>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</si>
  <si>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</si>
  <si>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</si>
  <si>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</si>
  <si>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</si>
  <si>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</si>
  <si>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</si>
  <si>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</si>
  <si>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</si>
  <si>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</si>
  <si>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</si>
  <si>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</si>
  <si>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</si>
  <si>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</si>
  <si>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</si>
  <si>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</si>
  <si>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</si>
  <si>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</si>
  <si>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</si>
  <si>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</si>
  <si>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</si>
  <si>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</si>
  <si>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</si>
  <si>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</si>
  <si>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</si>
  <si>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</si>
  <si>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</si>
  <si>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</si>
  <si>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</si>
  <si>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</si>
  <si>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</si>
  <si>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</si>
  <si>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</si>
  <si>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</si>
  <si>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</si>
  <si>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Corpourabá otorgó ampliación de caudal Q. Los Perros. con Resolución 200-03-20-01-1310-2016 del 12-10-17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</si>
  <si>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</si>
  <si>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</si>
  <si>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</si>
  <si>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</si>
  <si>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</si>
  <si>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</si>
  <si>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</si>
  <si>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</si>
  <si>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</si>
  <si>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</si>
  <si>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</si>
  <si>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</si>
  <si>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 xml:space="preserve">CONSTRUCCIÖN </t>
  </si>
  <si>
    <t>Tramos</t>
  </si>
  <si>
    <t>Tramo</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</si>
  <si>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</si>
  <si>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</si>
  <si>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</si>
  <si>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</si>
  <si>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</si>
  <si>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</si>
  <si>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</si>
  <si>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</si>
  <si>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</si>
  <si>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</si>
  <si>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Aporte establecido contractual</t>
  </si>
  <si>
    <t xml:space="preserve">               IPC</t>
  </si>
  <si>
    <t>MES DE IPC</t>
  </si>
  <si>
    <t>Aportes efectuados en pesos del mes de referencia</t>
  </si>
  <si>
    <t>Giro 1</t>
  </si>
  <si>
    <t>Proyecto</t>
  </si>
  <si>
    <t>Dinerario</t>
  </si>
  <si>
    <t>Fecha de Constitución del Patrimonio Autónomo</t>
  </si>
  <si>
    <t>Giro 2</t>
  </si>
  <si>
    <t>Giro 3</t>
  </si>
  <si>
    <t>Giro 4</t>
  </si>
  <si>
    <t>Giro 5</t>
  </si>
  <si>
    <t>Giro 6</t>
  </si>
  <si>
    <t>Giro 7</t>
  </si>
  <si>
    <t>Giro 8</t>
  </si>
  <si>
    <t>sept-2015</t>
  </si>
  <si>
    <t>octubre-2015</t>
  </si>
  <si>
    <t>noviembre-2015</t>
  </si>
  <si>
    <t>diciembre-2015</t>
  </si>
  <si>
    <t>enero-2016</t>
  </si>
  <si>
    <t>febrero-2016</t>
  </si>
  <si>
    <t>marzo-2016</t>
  </si>
  <si>
    <t>abril-2016</t>
  </si>
  <si>
    <t>mayo-2016</t>
  </si>
  <si>
    <t>junio-2016</t>
  </si>
  <si>
    <t>julio-2016</t>
  </si>
  <si>
    <t>agosto-2016</t>
  </si>
  <si>
    <t>septiembre-2016</t>
  </si>
  <si>
    <t>octubre-2016</t>
  </si>
  <si>
    <t>diciembre-2016</t>
  </si>
  <si>
    <t>enero-2017</t>
  </si>
  <si>
    <t>marzo-2017</t>
  </si>
  <si>
    <t>abril-2017</t>
  </si>
  <si>
    <t>Septiembre 2017</t>
  </si>
  <si>
    <t>Septiembre -2017</t>
  </si>
  <si>
    <t>Abril-2018</t>
  </si>
  <si>
    <t>TOTAL APORTES DINERARIOS</t>
  </si>
  <si>
    <t>Especie</t>
  </si>
  <si>
    <t>Septiembre-2015</t>
  </si>
  <si>
    <t>Predios</t>
  </si>
  <si>
    <t>incumplido</t>
  </si>
  <si>
    <t>Cumplió</t>
  </si>
  <si>
    <t>Giro 9</t>
  </si>
  <si>
    <t>Giro 10</t>
  </si>
  <si>
    <t>Giro 11</t>
  </si>
  <si>
    <t>Giro 12</t>
  </si>
  <si>
    <t>Giro 13</t>
  </si>
  <si>
    <t>Giro 14</t>
  </si>
  <si>
    <t>mayo-2017</t>
  </si>
  <si>
    <t>Giro 15</t>
  </si>
  <si>
    <t>junio-2017</t>
  </si>
  <si>
    <t>Giro 16</t>
  </si>
  <si>
    <t>AGOSTO-2017</t>
  </si>
  <si>
    <t>Giro 17</t>
  </si>
  <si>
    <t>septiembre-2017</t>
  </si>
  <si>
    <t>Giro 18</t>
  </si>
  <si>
    <t>Subcuenta Interventoría y Supervisión</t>
  </si>
  <si>
    <t>6 meses desde la Fecha de Inicio</t>
  </si>
  <si>
    <t>12 meses desde la Fecha de Inicio</t>
  </si>
  <si>
    <t>18 meses desde la Fecha de Inicio</t>
  </si>
  <si>
    <t>Abril-2017</t>
  </si>
  <si>
    <t>24 meses desde la Fecha de Inicio</t>
  </si>
  <si>
    <t>30 meses desde la Fecha de Inicio</t>
  </si>
  <si>
    <t>abril-2018</t>
  </si>
  <si>
    <t>36 meses desde la Fecha de Inicio</t>
  </si>
  <si>
    <t>42 meses desde la Fecha de Inicio</t>
  </si>
  <si>
    <t>48 meses desde la Fecha de Inicio</t>
  </si>
  <si>
    <t>54 meses desde la Fecha de Inicio</t>
  </si>
  <si>
    <t>60 meses desde la Fecha de Inicio</t>
  </si>
  <si>
    <t>66 meses desde la Fecha de Inicio</t>
  </si>
  <si>
    <t>Soporte Contractual</t>
  </si>
  <si>
    <t>enero-30-2017</t>
  </si>
  <si>
    <t>Cuentas MASC</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</si>
  <si>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</si>
  <si>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Aporte Enero 6-2017</t>
  </si>
  <si>
    <t>Aporte Enero 30-2017</t>
  </si>
  <si>
    <t>Aporte Julio 05-2017</t>
  </si>
  <si>
    <t>Mayo-2017</t>
  </si>
  <si>
    <t>Aporte Enero  06-2018</t>
  </si>
  <si>
    <t>diciembre de 2017</t>
  </si>
  <si>
    <t>Aporte Enero 30-2018</t>
  </si>
  <si>
    <t>cumplido</t>
  </si>
  <si>
    <t>Cuentas COMPENSACIONES AMBIENTALES</t>
  </si>
  <si>
    <t>Aporte julio 15-2017</t>
  </si>
  <si>
    <t>Aporte Agosto 15-2017</t>
  </si>
  <si>
    <t>Aporte  sept 15-2017</t>
  </si>
  <si>
    <t>Agosto-2017</t>
  </si>
  <si>
    <t>Aporte  oct 15-2017</t>
  </si>
  <si>
    <t>Septiembre-2017</t>
  </si>
  <si>
    <t>Aporte  Nov 15-2017</t>
  </si>
  <si>
    <t>octubre-2017</t>
  </si>
  <si>
    <t>Aporte  Dic 15-2017</t>
  </si>
  <si>
    <t>Noviembre-2017</t>
  </si>
  <si>
    <t>Aporte  Ene 16-2018</t>
  </si>
  <si>
    <t>diciembre-2017</t>
  </si>
  <si>
    <t>Aporte  feb 16-2018</t>
  </si>
  <si>
    <t>Enero-2018</t>
  </si>
  <si>
    <t>aporte de mar -12-2018</t>
  </si>
  <si>
    <t>febrero-2018</t>
  </si>
  <si>
    <t>aporte de abr -19-2018</t>
  </si>
  <si>
    <t>marzo-2018</t>
  </si>
  <si>
    <t>Cuentas REDES</t>
  </si>
  <si>
    <t>Aporte julio 06-2017</t>
  </si>
  <si>
    <t>SUBCUENTA PREDIOS II</t>
  </si>
  <si>
    <t>Predios OTROS SI N.3</t>
  </si>
  <si>
    <t>03/12/2017 y 11 de dic-2017</t>
  </si>
  <si>
    <t>incumplido por fecha</t>
  </si>
  <si>
    <t>enero-2018</t>
  </si>
  <si>
    <t>feb-2018</t>
  </si>
  <si>
    <t>Giro 19</t>
  </si>
  <si>
    <t>Giro 20</t>
  </si>
  <si>
    <t>Giro 21</t>
  </si>
  <si>
    <t>Giro 22</t>
  </si>
  <si>
    <t>Giro 23</t>
  </si>
  <si>
    <t>REGISTRO FOTOGRÁFICO</t>
  </si>
  <si>
    <t>CONSORCIO EPSILON 4G</t>
  </si>
  <si>
    <t>Control semanal de Avance Predial</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</si>
  <si>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</si>
  <si>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</si>
  <si>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</si>
  <si>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</si>
  <si>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</si>
  <si>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</si>
  <si>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</si>
  <si>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</si>
  <si>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</si>
  <si>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</si>
  <si>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</si>
  <si>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</si>
  <si>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</si>
  <si>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</si>
  <si>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</si>
  <si>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</si>
  <si>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</si>
  <si>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</si>
  <si>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</si>
  <si>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</si>
  <si>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</si>
  <si>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</si>
  <si>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</si>
  <si>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</si>
  <si>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</si>
  <si>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</si>
  <si>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</si>
  <si>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C. Nueva Túnel de Occ -  S. Jerónimo segundo Tubo del túnel</t>
  </si>
  <si>
    <t>Firmado entre el INVIAS y DEVIMAR el 27-03-17</t>
  </si>
  <si>
    <t>Giro 4 - ajuste</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</si>
  <si>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</si>
  <si>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</si>
  <si>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</si>
  <si>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</si>
  <si>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</si>
  <si>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</si>
  <si>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</si>
  <si>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</si>
  <si>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</si>
  <si>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</si>
  <si>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</si>
  <si>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</si>
  <si>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</si>
  <si>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</si>
  <si>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</si>
  <si>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</si>
  <si>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</si>
  <si>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jun-2018</t>
  </si>
  <si>
    <t>junio- 2018</t>
  </si>
  <si>
    <t>aporte de agosto -30-2018</t>
  </si>
  <si>
    <t>jul-2018</t>
  </si>
  <si>
    <t>junio-2018</t>
  </si>
  <si>
    <t>ACCIDENTALIDAD</t>
  </si>
  <si>
    <t>Aporte Adicional en Dinero - deuda Subordinada</t>
  </si>
  <si>
    <t>julio-2018</t>
  </si>
  <si>
    <t>agosto-2018</t>
  </si>
  <si>
    <t>agosto - 2018</t>
  </si>
  <si>
    <t>Giro 20%</t>
  </si>
  <si>
    <t>20% Adicional a cargo del Concesionario</t>
  </si>
  <si>
    <t>Mantenimiento de baños portátiles con tercero autorizado</t>
  </si>
  <si>
    <t>aporte de septiembre -30-2018</t>
  </si>
  <si>
    <t>Sep-2018</t>
  </si>
  <si>
    <t>sept-2018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</si>
  <si>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</si>
  <si>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</si>
  <si>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</si>
  <si>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</si>
  <si>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</si>
  <si>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</si>
  <si>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</si>
  <si>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</si>
  <si>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</si>
  <si>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noviembre-2018</t>
  </si>
  <si>
    <t>soporte contractual</t>
  </si>
  <si>
    <t>MASC</t>
  </si>
  <si>
    <t>nov-2018</t>
  </si>
  <si>
    <t>Aporte de Dic-2018</t>
  </si>
  <si>
    <t>aporte enero -30-2019</t>
  </si>
  <si>
    <t>VIGENCIAS FUTURAS</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</si>
  <si>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</si>
  <si>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</si>
  <si>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Noviembre 2017</t>
  </si>
  <si>
    <t>dic-2018</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</si>
  <si>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</si>
  <si>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</si>
  <si>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</si>
  <si>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</si>
  <si>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</si>
  <si>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</si>
  <si>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</si>
  <si>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</si>
  <si>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</si>
  <si>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</si>
  <si>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</si>
  <si>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</si>
  <si>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</si>
  <si>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</si>
  <si>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</si>
  <si>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</si>
  <si>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</si>
  <si>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</si>
  <si>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</si>
  <si>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</si>
  <si>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</si>
  <si>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</si>
  <si>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</si>
  <si>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</si>
  <si>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</si>
  <si>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</si>
  <si>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</si>
  <si>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</si>
  <si>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</si>
  <si>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</si>
  <si>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</si>
  <si>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</si>
  <si>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</si>
  <si>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</si>
  <si>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</si>
  <si>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</si>
  <si>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</si>
  <si>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</si>
  <si>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</si>
  <si>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</si>
  <si>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</si>
  <si>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</si>
  <si>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</si>
  <si>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</si>
  <si>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</si>
  <si>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</si>
  <si>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</si>
  <si>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</si>
  <si>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</si>
  <si>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</si>
  <si>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</si>
  <si>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</si>
  <si>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</si>
  <si>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</si>
  <si>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</si>
  <si>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</si>
  <si>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</si>
  <si>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</si>
  <si>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</si>
  <si>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</si>
  <si>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</si>
  <si>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</si>
  <si>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</si>
  <si>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</si>
  <si>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</si>
  <si>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</si>
  <si>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</si>
  <si>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</si>
  <si>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</si>
  <si>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</si>
  <si>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</si>
  <si>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</si>
  <si>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</si>
  <si>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</si>
  <si>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</si>
  <si>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</si>
  <si>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</si>
  <si>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</si>
  <si>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</si>
  <si>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</si>
  <si>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septiembre-2018</t>
  </si>
  <si>
    <t>Giro adicional 30%</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</si>
  <si>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</si>
  <si>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</si>
  <si>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</si>
  <si>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</si>
  <si>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</si>
  <si>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</si>
  <si>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</si>
  <si>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</si>
  <si>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Giro 26</t>
  </si>
  <si>
    <t>Aporte de Agosto 31 -2019</t>
  </si>
  <si>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</si>
  <si>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</si>
  <si>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</si>
  <si>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</si>
  <si>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</si>
  <si>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</si>
  <si>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</si>
  <si>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</si>
  <si>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</si>
  <si>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</si>
  <si>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</si>
  <si>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</si>
  <si>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</si>
  <si>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</si>
  <si>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</si>
  <si>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</si>
  <si>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</si>
  <si>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</si>
  <si>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</si>
  <si>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</si>
  <si>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</si>
  <si>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</si>
  <si>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</si>
  <si>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</si>
  <si>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FOTO 1</t>
  </si>
  <si>
    <t>FOTO 2</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</si>
  <si>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</si>
  <si>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Cumplió el aporte del mes de mayo/2019 y realizó el anticipo de los periodos de junio por $923.770.254 y parte de julio. El aporte de Julio es de $852.687.174 y con este aporte lleva $843.955.468,24 quedando un faltante de $8.731.705,76</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</si>
  <si>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</si>
  <si>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</si>
  <si>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</si>
  <si>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</si>
  <si>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</si>
  <si>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</si>
  <si>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</si>
  <si>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</si>
  <si>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</si>
  <si>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</si>
  <si>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Cumplió los fondeos los esta realizando anticipadamente</t>
  </si>
  <si>
    <t>Aporte anual 2019</t>
  </si>
  <si>
    <t xml:space="preserve">El presupuesto actualizado de redes húmedas obtiene el concepto de NO objeción. </t>
  </si>
  <si>
    <t>Sep-2019</t>
  </si>
  <si>
    <t>Traslado de redes húmedas UF2.1.</t>
  </si>
  <si>
    <t>Dic-2019</t>
  </si>
  <si>
    <t>E</t>
  </si>
  <si>
    <t>P</t>
  </si>
  <si>
    <t>IS</t>
  </si>
  <si>
    <t>SC</t>
  </si>
  <si>
    <t>CA</t>
  </si>
  <si>
    <t>R</t>
  </si>
  <si>
    <t>VF</t>
  </si>
  <si>
    <t>NOV/2019</t>
  </si>
  <si>
    <t>Cumplido</t>
  </si>
  <si>
    <t>9. CONTROL TÉCNICO DE TÚNELES</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</si>
  <si>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</si>
  <si>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</si>
  <si>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</si>
  <si>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</si>
  <si>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</si>
  <si>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</si>
  <si>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</si>
  <si>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FECHA APROBACIÓN</t>
  </si>
  <si>
    <t>31 ENERO DE 2020</t>
  </si>
  <si>
    <t>PK 0+160</t>
  </si>
  <si>
    <t>PK 11+700 Zona del retorno # 1</t>
  </si>
  <si>
    <t>Concretos premezclados</t>
  </si>
  <si>
    <t>ACTIVIDADES CRÍTICAS SEGÚN ANEXO #1 DE MAR 1, POR LA CUARENTENA DEL COVID-19</t>
  </si>
  <si>
    <t>PK 24+300 CD - Box # 106</t>
  </si>
  <si>
    <t>Unidad Funcional 4,1 - Rehabilitación Sector 4.1 Venecia - Peñalisa (Salgar) 8,8 KM</t>
  </si>
  <si>
    <t>PK 0+700</t>
  </si>
  <si>
    <t>o CCO del TUNEL</t>
  </si>
  <si>
    <t>MOVIMIENTO TIERRA o MATERIAL DE DESCOMBRO</t>
  </si>
  <si>
    <t>TEMAS DE CONTROL EN EL PERIODO PUENTES</t>
  </si>
  <si>
    <t>FOTO 3</t>
  </si>
  <si>
    <t>FOTO 4</t>
  </si>
  <si>
    <t>FOTO 5</t>
  </si>
  <si>
    <t>FOTO 6</t>
  </si>
  <si>
    <t>PK 9+200</t>
  </si>
  <si>
    <t>PK 17+300</t>
  </si>
  <si>
    <t>PK 18+800</t>
  </si>
  <si>
    <t>PK 24+150</t>
  </si>
  <si>
    <t>UF-1.0</t>
  </si>
  <si>
    <t>UF-2.1</t>
  </si>
  <si>
    <t>UF-3.0</t>
  </si>
  <si>
    <t>31  ENERO DE 2020</t>
  </si>
  <si>
    <t>6'0%</t>
  </si>
  <si>
    <t>PK 24+400/700 CD</t>
  </si>
  <si>
    <t>Aprobados</t>
  </si>
  <si>
    <t>No Aprobados</t>
  </si>
  <si>
    <t>Avalúos Preliminares Aprobados</t>
  </si>
  <si>
    <t>Avalúos Preliminares No Aprobados</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</si>
  <si>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</si>
  <si>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</si>
  <si>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</si>
  <si>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</si>
  <si>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</si>
  <si>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</si>
  <si>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</si>
  <si>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</si>
  <si>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</si>
  <si>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</si>
  <si>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</si>
  <si>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</si>
  <si>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PK 22+430/480 CI</t>
  </si>
  <si>
    <t>Puente PK 0+930 UF 1. Acabados de defensas tipo New Jersey, ambos costados.</t>
  </si>
  <si>
    <t>,</t>
  </si>
  <si>
    <t>PK 5+720</t>
  </si>
  <si>
    <t xml:space="preserve">PK 14+700 </t>
  </si>
  <si>
    <t>PK 18+000</t>
  </si>
  <si>
    <t>Puente PK 0+930 UF 1. Vista panorámica Puente construido.</t>
  </si>
  <si>
    <t>Puente PK 1+440 UF 1-  Vista panorámica Puente construido.</t>
  </si>
  <si>
    <t>ACTIVIDADES CRÍTICAS SEGÚN ANEXO #1 DE MAR 1 POR LA CUARENTENA DEL COVID-19</t>
  </si>
  <si>
    <t xml:space="preserve">PK 15+300 </t>
  </si>
  <si>
    <t>PK 14+900</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</si>
  <si>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</si>
  <si>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</si>
  <si>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</si>
  <si>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</si>
  <si>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</si>
  <si>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</si>
  <si>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</si>
  <si>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Puente PK 0+160 UF 1-  Acabados en módulos de defensa tipo New Jersey.</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</si>
  <si>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</si>
  <si>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</si>
  <si>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</si>
  <si>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</si>
  <si>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SEGURIDAD VIAL</t>
  </si>
  <si>
    <t>PK 0+950</t>
  </si>
  <si>
    <t>PK 19+200  CD</t>
  </si>
  <si>
    <t>PK 18+400  CI</t>
  </si>
  <si>
    <t>TRABAJOS FINALIZADOS EL 29 DE MAYO DEL 2020</t>
  </si>
  <si>
    <t>Puente PK 0+160 UF 1- Defensa tipo New Jersey terminadas.</t>
  </si>
  <si>
    <t>REUNIONES/ACTIVIDADES</t>
  </si>
  <si>
    <t>PK 0+650/700 CI</t>
  </si>
  <si>
    <t>PK 17+800</t>
  </si>
  <si>
    <t>Excavación / Rellenos de terraplén / Drenajes - CD</t>
  </si>
  <si>
    <t>Reforzamiento y protección talud perfilado - Pavimento rígido, veredal</t>
  </si>
  <si>
    <t>PK 12+850</t>
  </si>
  <si>
    <t>PK 4+500</t>
  </si>
  <si>
    <t>PK 8+400</t>
  </si>
  <si>
    <t>Perfilado de talud (fallado el pasado 22 de enero) - CD</t>
  </si>
  <si>
    <t>PK 10+200</t>
  </si>
  <si>
    <t>Corte de montaña rocosa - CI</t>
  </si>
  <si>
    <t>Se autorizó mediante Resolución 0692 del 04-04-17 para el primer proceso de Licenciamiento.</t>
  </si>
  <si>
    <t>• ANLA otorgó Licencia Ambiental con Resolución 00606 del 25-05-17 y notificada el 30-05-17. 
• ANLA resolvió con Resolución 00764 del 30-06-17 Recurso de Reposición interpuesto a la Resolución 00606, y con radicado ANLA 2017050989-2-000 del 07-07-17</t>
  </si>
  <si>
    <t xml:space="preserve">ANLA con Resolución 02318 del 14-12-18 ANLA Autorizó la modificación de la Licencia ambiental resolución 0606 asociada al polígono " La frísola - El Polvorín" </t>
  </si>
  <si>
    <t xml:space="preserve">ANLA Otorga Modificación de Licencia Ambiental  02360 Del 02 de diciembre de 2019 y aumento de caudal de vertimiento en la Q. la Frísola </t>
  </si>
  <si>
    <t>Se autorizo según acuerdo del consejo directivo de Corantioquia N° 180ACU-1811-552 del 21-11-18. la sustracción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t>
  </si>
  <si>
    <t>Se autorizó con Resolución Corantioquia 040-RES1705-2420 del 11-05-17 para la Resolución 00606 del 25-05-17.</t>
  </si>
  <si>
    <t>• Corantioquia otorgó con resolución 040-RES1808-4319 del 03-08-18 y notificada el 08-03-18 levantamiento de restricción al uso y aprovechamiento de especies forestales 
• Pago por evaluación el 17-12-18 con soporte Corantioquia SF SP925</t>
  </si>
  <si>
    <t>MADS Autorizó con resolución 2241 del 27-11-18
• Con radicado MADS 00001 del  30-11-18 Concesionario renunció al derecho de interposición de recurso de reposición contra la resolución 2241 del 27-11-18, quedando en firme.</t>
  </si>
  <si>
    <t>Modificación Licencia Ambiental resolución 00639 del 02-06-18 "ajustes en el trazado y solicitud de infraestructura asociada"</t>
  </si>
  <si>
    <t>1'00%</t>
  </si>
  <si>
    <t>MADS Autorizó con resolución 2240 del 27-11-18
Con radicado MADS 00002 del  30-11-18 Concesionario renunció al derecho de interposición de recurso de reposición contra la resolución 2240 del 27-11-18, quedando en firme</t>
  </si>
  <si>
    <t>Acuerdo de coexistencia proyectos superpuestos Autopistas al Mar 1 - Conexión Valles de Aburra - Rio Cauca, asociados a las Licencias Ambientales Resoluciones 00606 del 25-05-18 y 00639 del 02-06-18</t>
  </si>
  <si>
    <t xml:space="preserve">Acuerdo de coexistencia proyectos superpuestos Autopistas al Mar 1 - Conexión Valles de Aburra - Rio Cauca, asociado a las modificaciones de las Licencias Ambientales Resoluciones 00606 del 25-05-17 </t>
  </si>
  <si>
    <t>➢ Concesionario remitió la V4 con comunicado D-02-01-20190315-007696, Interventoría emitió concepto de No Objeción con comunicado EPS4G-0372-19 radicada el 28-03-19 con consecutivo DEVIMAR01-01-20190328013974.</t>
  </si>
  <si>
    <t>Corantioquia autorizó con Resolución 16HX-RES1711-6804 del 30-11-17</t>
  </si>
  <si>
    <t xml:space="preserve">El día 11-09-17 se recibe notificación de la resolución 160HX-RES1709-4795 del 07-09-17 mediante la cual otorgó Concesión de Aguas en el Río Aurrá. Oficio D-1672-2017-1 radicado 09-10-17 mediante el cual se da cumplimiento a los artículos 3 y 5  de la resolución que otorga. Oficio D-1918-2017-1  del 10-11-17 Mediante el cual se radica el PUEAA. </t>
  </si>
  <si>
    <t>Ministerio de Medio Ambiente autorizó con Resolución  2115 del 30-10-17</t>
  </si>
  <si>
    <t xml:space="preserve">El 17-04-17 se realizó mesa de trabajo para actualización del documento PAGA.  Con oficio D-608-2017-1 del 15 -05-17, se radico el documento ajustado. Interventoría emitió concepto de No Objeción al documento con oficio EPS4G-0234-17 el 23-05-17
Se realizó Comité Ambiental el día 12-06-18,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t>
  </si>
  <si>
    <t>Corpourabá otorgó permiso con Resolución Corpourabá 200-03-20-0228-2017 el 23-02-17.
Con Resolución 200-03-20-01-0543-2 del 17-04-18 Corpourabá suspendió parcialmente un permiso de emisiones atmosféricas fuentes fijas que fue otorgado con resolución 0228 del 23-02-17.</t>
  </si>
  <si>
    <t xml:space="preserve">
➢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Resoluciones 160HX-RES1901-405 del 30-01-19 y 160HX-RES1905-2628 del 27-05-19, Corantioquia autorizó modificaciones de los permisos de ocupación de cauce  de los expedientes HX8-2017-55 y HX8-2017-49, respectivamente.
Corantioquia los días 19, 22 -07-19 al considerar cumplidas y finalizadas las obligaciones del permiso realizó el archivo de los siguientes expedientes de ocupaciones HX8-17-49, HX8-17-53, HX8-17-58, HX8-17-51, HX8-17-54, HX8-17-55, y HX8-17-52. 
Solicitud cierre expediente Ocupación Q. la Palma con radicado 160HX-COE1912-44040 del 23-12-19
Con radicado 160HX-COE1912-42119 del 06-12-19 Concesionario solicitó permisos de ocupación de cauce para los puntos de urgencia por la ola invernal ubicados en el PK10+850, PK44+900, PK13+800, PK26+400 y PK44+100 de la ruta 25B-02 UF4.2 los cuales ya fueron autorizados por Corantioquia en los periodos de junio y  julio de 2020, ver trazabilidad del estado de los trámites en  el anexo 4 del informe mensual de la Interventoría mes de junio y julio de 2020
</t>
  </si>
  <si>
    <t xml:space="preserve">Corantioquia autorizó Concesión de Aguas en el Rio Cauca con Resolución 160CI-RES1701-195 el 12 -01- 17.
Se resolvió recurso de reposición Resolución 160CI-RES1703-1255 del 13-03-17 y notificada el 28-03-17. </t>
  </si>
  <si>
    <t>Corantioquia otorgó permiso con Resolución 040-RES1706-3088 el 22-07-17 y notificada el 29-06-17</t>
  </si>
  <si>
    <t xml:space="preserve">MADS otorgó permiso con Resolución No. 1244 el 20-06-17
El Concesionario con comunicación M&amp;M 0024-18 del 15 de febrero de 2018 y radicado MADS E1-2018-004546, envío alcance información previa solicitada en el Resolución No. 1244 del 20-06-17. </t>
  </si>
  <si>
    <t xml:space="preserve">Terceros autorizados se uso la escombrera Municipal de Santa Fe de Antioquia operada por Disportal Medellín </t>
  </si>
  <si>
    <t>1,2,3,4</t>
  </si>
  <si>
    <t>C. Existente inicio Concesión PK4,1 KM UF3 Cañasgordas  
Ruta   6204
C. Existente Santa Fe de Antioquia - Bolombolo.</t>
  </si>
  <si>
    <t xml:space="preserve">Documento PAGA </t>
  </si>
  <si>
    <t>Proyecto Autopista al Mar 1</t>
  </si>
  <si>
    <t>Escombros: Teniendo en cuenta la medida Preventiva impuesta a la escombrera del municipio de Santa Fe de Antioquia con acta 160HXACT2005-1643 del 14-05-2020, consistente en "Suspensión de obra o actividad; reiterando que la suspensión es inmediata de todo tipo de actividad, hasta tanto se realice evaluación técnica por parte de Corantioquia”, la cual fue legalizada por Corantioquia con Resolución 160HX-RES2005-2744 del 19-05-2020, el Concesionario inició en el mes de junio de 2020 la disposición de los residuos generados de construcción y demolición en la escombrera ubicada en el municipio de San Jerónimo de propiedad del señor Heli Botero cuyo predio cuenta con la viabilidad ambiental y la autorización de la Secretaría Municipal de San Jerónimo (Resolución 038 de 2019), se aclara que los volúmenes de disposición generados en el mes de junio de 2020 seguirán siendo reportados mes vencido tal y como se acordó con la ANI, ya que por el volumen de la información el Concesionario requiere tiempo para el procesamiento de los datos.</t>
  </si>
  <si>
    <t> el 22-08-17 con oficio EPS4G-0370-16 Interventoría dio la No Objeción a la V6 del documento.
 Con comunicación EPS4G-0368-18 el 22-05-18, se dio el concepto de No Objeción al PAGA de O y M V7. 
 Con comunicación EPS4G-0414-18 el 30-05-18 y radicado ANI 2018-409-053521-2, se envió a la ANI el PAGA de Operación y Mantenimiento V7 No Objetado.    
 ANI presentó observaciones al documento PAGA V7 enviado por Interventoría con consecutivo ANI 2018-605-020266-1 del 29-06-18.
 Con comunicado EPS4G-0625-18 radicado el 26-07-18 se consideraron atendidas por parte del Concesionario las observaciones realizadas por la ANI al PAGA V7 y se dio concepto de No Objeción.</t>
  </si>
  <si>
    <t>PK 5+100</t>
  </si>
  <si>
    <t>PK 5+200</t>
  </si>
  <si>
    <t>Imprimación + mezcla asfáltica en caliente - CI</t>
  </si>
  <si>
    <t>PK 8+500</t>
  </si>
  <si>
    <t>Excavación y Llenos (incluye talud perfilado), drenajes - CD</t>
  </si>
  <si>
    <t xml:space="preserve">PK 27+400 </t>
  </si>
  <si>
    <t>Trabajos de excavación, de llenos - Reconstrucción de box # 126 - Sitio cercano a la planta de asfaltos. CD / CI</t>
  </si>
  <si>
    <t>Puente PK 5+540 UF 1 - UF 1 - Finalizan acabados módulos defensas tipo New Jersey ambos costados</t>
  </si>
  <si>
    <t xml:space="preserve">Puente PK 5+540 UF 1 - Finalizan acabados de módulos New Jersey , ambos costados. </t>
  </si>
  <si>
    <t>Puente PK 1+940 UF 1-  -ESTRIBO 1. Instalación de platina y pernos de anclaje para junta de dilatacíon provicional.</t>
  </si>
  <si>
    <t>Puente PK 1+940 UF 1-  ESTRIBO 1. Junta de dilatacíon provicional instalada..</t>
  </si>
  <si>
    <t>Ampliación Puente PK18+700 UF2.1 La Muñóz II. Instalación de pintura baranda vehicular, ambos costados. Finalizado.</t>
  </si>
  <si>
    <t>PK 6+900</t>
  </si>
  <si>
    <t>PK 14+700 CD</t>
  </si>
  <si>
    <t>Llenos, material seleccionado  y redes ITS. - CD</t>
  </si>
  <si>
    <t xml:space="preserve">Inactivo. 
La plataforma de la segunda calzada ya cuenta con la capa intermedia asfáltica tipo MSC-25. Se instalaron redes ITS. También se coloco y extendió la capa intermedia asfáltica, tipo MSC-25. También se construyeron cunetas (con sección triangular o en L), en la parte media entre calzadas. </t>
  </si>
  <si>
    <t>PK 21+300 CI</t>
  </si>
  <si>
    <t>Fecha Consignación</t>
  </si>
  <si>
    <t xml:space="preserve">180 días  desde la fecha de inicio </t>
  </si>
  <si>
    <t xml:space="preserve">360 días  desde la fecha de inicio </t>
  </si>
  <si>
    <t xml:space="preserve">720 días  desde la fecha de inicio </t>
  </si>
  <si>
    <t xml:space="preserve">1080 días  desde la fecha de inicio </t>
  </si>
  <si>
    <t xml:space="preserve">1440 días desde la fecha de inicio </t>
  </si>
  <si>
    <t xml:space="preserve">1800 días  desde la fecha de inicio </t>
  </si>
  <si>
    <t xml:space="preserve">2160 días  desde la fecha de inicio  </t>
  </si>
  <si>
    <t xml:space="preserve">30 días desde la fecha de inicio </t>
  </si>
  <si>
    <t xml:space="preserve">60 días desde la fecha de inicio </t>
  </si>
  <si>
    <t xml:space="preserve">120 días desde la fecha de inicio </t>
  </si>
  <si>
    <t xml:space="preserve">150 días desde la fecha de inicio </t>
  </si>
  <si>
    <t xml:space="preserve">180 días desde la fecha de inicio </t>
  </si>
  <si>
    <t>210 días desde la fecha de inicio</t>
  </si>
  <si>
    <t xml:space="preserve">240 días desde la fecha de inicio </t>
  </si>
  <si>
    <t xml:space="preserve">270 días desde la fecha de inicio </t>
  </si>
  <si>
    <t xml:space="preserve">300 días desde la fecha de inicio </t>
  </si>
  <si>
    <t xml:space="preserve">330 días desde la fecha de inicio </t>
  </si>
  <si>
    <t xml:space="preserve">360 días desde la fecha de inicio </t>
  </si>
  <si>
    <t xml:space="preserve">630 días desde la fecha de inicio </t>
  </si>
  <si>
    <t xml:space="preserve">660 días desde la fecha de inicio </t>
  </si>
  <si>
    <t xml:space="preserve">690 días desde la fecha de inicio </t>
  </si>
  <si>
    <t xml:space="preserve">720 días desde la fecha de inicio </t>
  </si>
  <si>
    <t xml:space="preserve">750 días desde la fecha de inicio </t>
  </si>
  <si>
    <t>realizó aporte adicional</t>
  </si>
  <si>
    <t>Aporte de riesgo compartido</t>
  </si>
  <si>
    <t>Enero-2020</t>
  </si>
  <si>
    <t>Realizo aporte adicional</t>
  </si>
  <si>
    <t>Febrero-2020</t>
  </si>
  <si>
    <t>Marzo-2020</t>
  </si>
  <si>
    <t>Abril-2020</t>
  </si>
  <si>
    <t>Mayo-2020</t>
  </si>
  <si>
    <t>Junio-2020</t>
  </si>
  <si>
    <t>Interventoría y Supervisión</t>
  </si>
  <si>
    <t>Cumplió con 9 días de retraso</t>
  </si>
  <si>
    <t>Mar-2020</t>
  </si>
  <si>
    <t>Dentro de los cinco (5) días siguientes del inicio de cada año corrido contado a partir del inicio de la Etapa de Operación y Mantenimiento</t>
  </si>
  <si>
    <t>Dentro de los primeros  treinta (30) días de cada año calendario contados a partir de la constitución del Patrimonio Autónomo</t>
  </si>
  <si>
    <t>se realizo el ajuste correspondiente quedando un excedente de $2.449.573.50 como parte de interés</t>
  </si>
  <si>
    <t>Dentro de los primeros treinta (30) Días de cada año calendario de ejecución del Contrato, contados a a partir de la constitución del Patrimonio Autónomo</t>
  </si>
  <si>
    <t>incumplió por fecha</t>
  </si>
  <si>
    <t xml:space="preserve">Aporte semestral  y anual de 2019 </t>
  </si>
  <si>
    <t>Aporte semestral 2019</t>
  </si>
  <si>
    <t>cumplió y anticipo el aporte anual de enero de 2020</t>
  </si>
  <si>
    <t>Aporte semestral 2020-01</t>
  </si>
  <si>
    <t>Aporte semestral 2020-02</t>
  </si>
  <si>
    <t>incumplido por fecha. Los intereses fueron pagados en el 28 noviembre 2018 y se relaciona en la sección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</si>
  <si>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</si>
  <si>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</si>
  <si>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</si>
  <si>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</si>
  <si>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</si>
  <si>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</si>
  <si>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</si>
  <si>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</si>
  <si>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Cumplió aporte del mes de Enero 2020</t>
  </si>
  <si>
    <t>Giro 32</t>
  </si>
  <si>
    <t>Aporte de Febrero 29 -2020</t>
  </si>
  <si>
    <t>Ene-20</t>
  </si>
  <si>
    <t>incumplido por fecha. Los intereses fueron pagados en el 14 de abril de 2020 y se relaciona en la sección de intereses.</t>
  </si>
  <si>
    <t>Giro 33</t>
  </si>
  <si>
    <t>Aporte de Marzo 31 -2020</t>
  </si>
  <si>
    <t>Feb-20</t>
  </si>
  <si>
    <t>Cumplió aporte del mes de Marzo 2020</t>
  </si>
  <si>
    <t>Giro 34</t>
  </si>
  <si>
    <t>Aporte de Abril 30 -2020</t>
  </si>
  <si>
    <t>Mar-20</t>
  </si>
  <si>
    <t>Cumplió aporte del mes de Abril 2020</t>
  </si>
  <si>
    <t>Giro 35</t>
  </si>
  <si>
    <t>Aporte de Mayo 31 -2020</t>
  </si>
  <si>
    <t>Abr-20</t>
  </si>
  <si>
    <t>Cumplió aporte del mes de Mayo 2020</t>
  </si>
  <si>
    <t>Giro 36</t>
  </si>
  <si>
    <t>Aporte de Junio 30 -2020</t>
  </si>
  <si>
    <t>May-20</t>
  </si>
  <si>
    <t>Cumplió aporte del mes de Junio 2020</t>
  </si>
  <si>
    <t>Giro 37</t>
  </si>
  <si>
    <t>Aporte de Julio 31 -2020</t>
  </si>
  <si>
    <t>Jun-20</t>
  </si>
  <si>
    <t>Cumplió aporte del mes de Julio 2020</t>
  </si>
  <si>
    <t>SUBTOTAL FONDEOS</t>
  </si>
  <si>
    <t>Sección intereses Ambiental</t>
  </si>
  <si>
    <t xml:space="preserve">Intereses Aporte 15 </t>
  </si>
  <si>
    <t>aportes de interés rendimientos sep 2018</t>
  </si>
  <si>
    <t>Intereses Aportes 25-26-27</t>
  </si>
  <si>
    <t>aportes de interés por el faltante de julio aporte de agosto y septiembre</t>
  </si>
  <si>
    <t>pago de intereses de los meses saldo de julio 2019 y de los meses de agosto y sept 2019</t>
  </si>
  <si>
    <t>Intereses Aporte 32</t>
  </si>
  <si>
    <t>pago de intereses del  aporte 32</t>
  </si>
  <si>
    <t>SUBTOTAL INTERESES</t>
  </si>
  <si>
    <t>TOTAL AMBIENTAL</t>
  </si>
  <si>
    <t>Predios ll</t>
  </si>
  <si>
    <t>780 Días desde la fecha de inicio</t>
  </si>
  <si>
    <t>810 Días desde la fecha de inicio</t>
  </si>
  <si>
    <t>840 Días desde la fecha de inicio</t>
  </si>
  <si>
    <t>870 Días desde la fecha de inicio</t>
  </si>
  <si>
    <t>900 Días desde la fecha de inicio</t>
  </si>
  <si>
    <t>930 Días desde la fecha de inicio</t>
  </si>
  <si>
    <t>960 Días desde la fecha de inicio</t>
  </si>
  <si>
    <t>990 Días desde la fecha de inicio</t>
  </si>
  <si>
    <t>1020 Días desde la fecha de inicio</t>
  </si>
  <si>
    <t>1050 Días desde la fecha de inicio</t>
  </si>
  <si>
    <t>incumplido por la aplicación del IPC se realizó con  IPC  de julio y debió aplicarse el de agosto por lo tanto hay un faltante en pesos constantes de $3.108.531.02</t>
  </si>
  <si>
    <t>1080 Días desde la fecha de inicio</t>
  </si>
  <si>
    <t>1110 Días desde la fecha de inicio</t>
  </si>
  <si>
    <t>1140 Días desde la fecha de inicio</t>
  </si>
  <si>
    <t>1170 Días desde la fecha de inicio</t>
  </si>
  <si>
    <t>1200 Días desde la fecha de inicio</t>
  </si>
  <si>
    <t>1230 Días desde la fecha de inicio</t>
  </si>
  <si>
    <t>1260 Días desde la fecha de inicio</t>
  </si>
  <si>
    <t>1290 Días desde la fecha de inicio</t>
  </si>
  <si>
    <t>1320 Días desde la fecha de inicio</t>
  </si>
  <si>
    <t>1350 Días desde la fecha de inicio</t>
  </si>
  <si>
    <t>1380 Días desde la fecha de inicio</t>
  </si>
  <si>
    <t>1410 Días desde la fecha de inicio</t>
  </si>
  <si>
    <t>1440 Días desde la fecha de inicio</t>
  </si>
  <si>
    <t>feb-2020</t>
  </si>
  <si>
    <t>Vigencias</t>
  </si>
  <si>
    <t>Queda Pendiente el diferencial por la variación del IPC que son $30.876.022,79, Incumplido Por Fecha y valor</t>
  </si>
  <si>
    <t>ESPERA RESPUESTA DEL ESPECIALISTA  DE LA INTERVENTORÍA</t>
  </si>
  <si>
    <t>Ampliación Puente PK18+700 UF2.1 La Muñóz II. Instalación de pintura epóxica baranda vehicular. Finalizado.</t>
  </si>
  <si>
    <t>PK 14+400 CD</t>
  </si>
  <si>
    <t>Cortes en taludes, perfilados, consolidación  - Granulares  -  CI</t>
  </si>
  <si>
    <t>PK 16+900</t>
  </si>
  <si>
    <t>PK 20+650 CD</t>
  </si>
  <si>
    <t>PK 25+050 CD</t>
  </si>
  <si>
    <t>Lleno y compactación 
Sector Villa del Marques / Sindelhato</t>
  </si>
  <si>
    <t>PK 25+600 CD</t>
  </si>
  <si>
    <t>PK 28+800 CD</t>
  </si>
  <si>
    <t>Colocación de capa asfáltica MSC-25 + Construcción canal perimetral</t>
  </si>
  <si>
    <t>PK 29+400 CD</t>
  </si>
  <si>
    <t xml:space="preserve">Construcción canaleta perimetral </t>
  </si>
  <si>
    <t>PK 29+900 CD</t>
  </si>
  <si>
    <t>PK 30+500 CI</t>
  </si>
  <si>
    <t xml:space="preserve">Reforzamiento de talud </t>
  </si>
  <si>
    <t>PK 30+600 CD</t>
  </si>
  <si>
    <t>PK 31+200 CD</t>
  </si>
  <si>
    <t>Consolidación de talud + drenajes</t>
  </si>
  <si>
    <t>PK 31+270 CD</t>
  </si>
  <si>
    <t>PR 6+700</t>
  </si>
  <si>
    <t>Puente el Paso sobre el Rio Cauca (o puente amarillo)</t>
  </si>
  <si>
    <t>TODAS</t>
  </si>
  <si>
    <t>REVISIÓN Y ANALISIS DE INSUMOS PREDIALES</t>
  </si>
  <si>
    <t>Estudio de Fichas Prediales y Avaluos Comerciales Corporativos de las Unidades Funcionales 1 y 2</t>
  </si>
  <si>
    <t>REVISIÓN DE LA PLATAFORMA OLYMPUS</t>
  </si>
  <si>
    <t>Llenos y ODT # 008 + Disipador - CI</t>
  </si>
  <si>
    <t xml:space="preserve">Talud rehabilitado </t>
  </si>
  <si>
    <r>
      <rPr>
        <b/>
        <sz val="11"/>
        <rFont val="Arial"/>
        <family val="2"/>
      </rPr>
      <t xml:space="preserve">PUENTE  PK8+115  UF1:  </t>
    </r>
    <r>
      <rPr>
        <sz val="1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rFont val="Arial"/>
        <family val="2"/>
      </rPr>
      <t>INFRAESTRUCTURA TERMINADA</t>
    </r>
    <r>
      <rPr>
        <sz val="1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rFont val="Arial"/>
        <family val="2"/>
      </rPr>
      <t>SUPERESTRUCTURA TERMINADA</t>
    </r>
    <r>
      <rPr>
        <sz val="1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</si>
  <si>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t xml:space="preserve">Granulares + capa asfáltica sobre ODT + Demarcación horizontal </t>
  </si>
  <si>
    <t xml:space="preserve">Mezcla asfáltica en caliente, MSC-25 + Demarcación horizontal </t>
  </si>
  <si>
    <t>ODT # 063 + Estructura granular + Capa asfáltica + Demarcación horizontal - CD</t>
  </si>
  <si>
    <t>PK 15+000 CI</t>
  </si>
  <si>
    <t>Corte de talud y alargue de Box # 071</t>
  </si>
  <si>
    <t>PK 15+400 CD</t>
  </si>
  <si>
    <t>PK 18+400</t>
  </si>
  <si>
    <t xml:space="preserve">RAP (Recycling Asphalt Pavement) </t>
  </si>
  <si>
    <t>PK 18+200  CI</t>
  </si>
  <si>
    <t>PK 20+150  CD</t>
  </si>
  <si>
    <t>PK 20+270  CD</t>
  </si>
  <si>
    <t>PK 22+232 CI</t>
  </si>
  <si>
    <t>Box culvert # 099</t>
  </si>
  <si>
    <t>Drenajes + Paisajismo - Sitio Piedras Verdes</t>
  </si>
  <si>
    <t>PK 21+900</t>
  </si>
  <si>
    <t>Cortes y excavaciones mecánicas + descapotes. Alargue de Box # 119 y dos ODTs # 117 y 118</t>
  </si>
  <si>
    <t>Ampliación Puente N°3 PK2+430 UF1 Quebrada La Cola. Losas vanos 1, 2 y 3 terminadas. Inactivo</t>
  </si>
  <si>
    <t>Ampliación Puente N°3 PK2+430 UF1 Quebrada La Cola.Losa terminada, falta instalación de la baranda. Inactivo</t>
  </si>
  <si>
    <t>Retorno #2 - Paisajismo</t>
  </si>
  <si>
    <t>FECHA  APROBACIÓN</t>
  </si>
  <si>
    <t>Descripción</t>
  </si>
  <si>
    <t>Ficha Social No Objetada</t>
  </si>
  <si>
    <t>Ficha Social Objetada</t>
  </si>
  <si>
    <t>No Aplica Compensación</t>
  </si>
  <si>
    <t>PK 8+080</t>
  </si>
  <si>
    <t>Mejoramiento - CI</t>
  </si>
  <si>
    <t xml:space="preserve">Las plantas concreteras del PK 13 y del PK 1+200 harán la fabricación de: concretos lanzados, concretos estructurales, morteros de inyección y los concretos simples; según los requerimientos de cada uno de los frentes activos que los requieran. </t>
  </si>
  <si>
    <t>ÉPSILON4G</t>
  </si>
  <si>
    <t>Se realizó verificación, observación y aprobación de cada uno de los datos que se ingresaron a la plataforma Olympus por parte del Concesionario.</t>
  </si>
  <si>
    <t>Aplicación de capa asfáltica - CI</t>
  </si>
  <si>
    <t>PK 3+400</t>
  </si>
  <si>
    <t>Construcción de muro en TA o # 011.</t>
  </si>
  <si>
    <t>Muro # 037 - TA, Seguridad vial</t>
  </si>
  <si>
    <t>PK 10+750 CI</t>
  </si>
  <si>
    <t>Box Doña Rosa - Excavación mecánica, muro escollera, demolición de negocio</t>
  </si>
  <si>
    <t>Lleno estructural, fallado - Nueva rehabilitación - Monitoreo, CI</t>
  </si>
  <si>
    <t>PK 13+200</t>
  </si>
  <si>
    <t>PK 16+300 CD</t>
  </si>
  <si>
    <t>Box # 072 + Fresado + Granulares CD / CI</t>
  </si>
  <si>
    <t>PK 21+150 CI</t>
  </si>
  <si>
    <t xml:space="preserve">Capa asfáltica - Demarcación horizontal </t>
  </si>
  <si>
    <t>ESTACIÓN O PLAYA DE PEAJES - ESTRUCTURA METALICA DE CUBIERTA</t>
  </si>
  <si>
    <t xml:space="preserve">PK 2+600 </t>
  </si>
  <si>
    <t>PK 3+200</t>
  </si>
  <si>
    <t>Mejoramiento de calzada existente - CD</t>
  </si>
  <si>
    <t>PK 4+400 CD</t>
  </si>
  <si>
    <t xml:space="preserve">PK 5+800 </t>
  </si>
  <si>
    <t>Muro # 072 - HA, Seguridad vial - CI</t>
  </si>
  <si>
    <t>Material seleccionado (estructura de pavimento flexible) + capa asfáltica + señalización</t>
  </si>
  <si>
    <t>Variante Sopetrán</t>
  </si>
  <si>
    <t>PK 25+900</t>
  </si>
  <si>
    <t>Socavación causada por brazo del Rio Cauca y nuevo trazo del  corredor vial, para una de las calzadas.</t>
  </si>
  <si>
    <t>Inactivo. Después de realizada la imprimación de granulares, se coloco la capa intermedia asfáltica tipo MSC-25. Se utilizaron los equipos Dynapac para colocar la capa asfáltica. El área se tiene disponible para el acopio de materiales de construcción de puentes y estacionamiento de equipos.</t>
  </si>
  <si>
    <t>Box culvert # 067 + Cortes / Llenos / Curado de granulares / Mezcla asfáltica -  CD</t>
  </si>
  <si>
    <t xml:space="preserve">PK 0+850 </t>
  </si>
  <si>
    <t>Corte mecánico con CAT - ODT # 085, prolongación de tramo ya iniciado</t>
  </si>
  <si>
    <t>PK 21+700 CD</t>
  </si>
  <si>
    <t>PK 21+300</t>
  </si>
  <si>
    <t>Inactivo. Se continua con la actividad de instalación de paneles de acero, de encofrados y funde canal perimetral. También se funden cunetas en bordes de las calzadas.</t>
  </si>
  <si>
    <t>Sectores puntuales del puente, presentan el tablero desgastado con presencia a la vista de su acero de refuerzo y con agregados sueltos. Siguen baches tapados con laminas de acero.</t>
  </si>
  <si>
    <t>Traslado de Redes Eléctricas; Alumbrado Público y de Telecomunicaciones UF1 y UF3.</t>
  </si>
  <si>
    <t>Traslado de Redes Húmedas UF1 y UF3</t>
  </si>
  <si>
    <t>Puente PK 5+240 UF 1.  Vista panorámica desde PK menores hacia mayores, acabados finales New Jersey..</t>
  </si>
  <si>
    <t>Puente PK 5+240 UF 1. Acabados defensas tipo New Jersey cara externa e interna, costado izquierdo.</t>
  </si>
  <si>
    <t>PK 9+790</t>
  </si>
  <si>
    <t>Excavación mecánica</t>
  </si>
  <si>
    <t>Corte, perfilado de talud + demoliciones + drenajes + Lanzavigas</t>
  </si>
  <si>
    <t>PK 31+260/680 CI (nuevo trazado)</t>
  </si>
  <si>
    <t>Aporte 2019</t>
  </si>
  <si>
    <t>Aporte 2018</t>
  </si>
  <si>
    <t>Certificacion</t>
  </si>
  <si>
    <t>Aporte adicional</t>
  </si>
  <si>
    <t>.</t>
  </si>
  <si>
    <t>Ambiental Int</t>
  </si>
  <si>
    <t>C303700071-8477-2310</t>
  </si>
  <si>
    <t>NO Cumplió aporte del mes de Octubre 2020</t>
  </si>
  <si>
    <t>Sep-20</t>
  </si>
  <si>
    <t>Aporte de octubre 31 -2020</t>
  </si>
  <si>
    <t>Giro 40</t>
  </si>
  <si>
    <t>C303700071-8477-2308</t>
  </si>
  <si>
    <t>Cumplió aporte del mes de  Septiembre 2020</t>
  </si>
  <si>
    <t>Ago-20</t>
  </si>
  <si>
    <t>Aporte de Septiembre 30 -2020</t>
  </si>
  <si>
    <t>Giro 39</t>
  </si>
  <si>
    <t>C303700071-8477-2307</t>
  </si>
  <si>
    <t>Cumplió aporte del mes de Agosto 2020</t>
  </si>
  <si>
    <t>Jul-20</t>
  </si>
  <si>
    <t>Aporte de agosto 31 -2020</t>
  </si>
  <si>
    <t>Giro 38</t>
  </si>
  <si>
    <t>Total Establecido</t>
  </si>
  <si>
    <t>No Cumplió</t>
  </si>
  <si>
    <t>Septiembre -2020</t>
  </si>
  <si>
    <t>Aporte anual 2020</t>
  </si>
  <si>
    <t>Giro 6 Anual</t>
  </si>
  <si>
    <t>Giro 10 Semestral</t>
  </si>
  <si>
    <t>Giro 9 Semestral</t>
  </si>
  <si>
    <t>Giro 5 Anual</t>
  </si>
  <si>
    <t>Giro 8 Semestral</t>
  </si>
  <si>
    <t>Giro 4 Anual</t>
  </si>
  <si>
    <t>Giro 7 Semestral</t>
  </si>
  <si>
    <t>Giro 6 Semestral</t>
  </si>
  <si>
    <t>Giro 3 Anual</t>
  </si>
  <si>
    <t>Giro 5 Semestral</t>
  </si>
  <si>
    <t>Giro 4 Semestral</t>
  </si>
  <si>
    <t>Giro 2 Anual</t>
  </si>
  <si>
    <t>Giro 3 Semestral</t>
  </si>
  <si>
    <t>Giro 2 Semestral</t>
  </si>
  <si>
    <t>Giro 1 Semestral</t>
  </si>
  <si>
    <t>Giro 1 Anual</t>
  </si>
  <si>
    <t>Cumplió los fondeos los esta realizando anticipadamente (2 Aportes)</t>
  </si>
  <si>
    <t>sep-2020</t>
  </si>
  <si>
    <t>C303700071-8477-2311</t>
  </si>
  <si>
    <t>Sep-2020</t>
  </si>
  <si>
    <t>Intereses</t>
  </si>
  <si>
    <t>Interventoría y Supervisión Interes</t>
  </si>
  <si>
    <t>C303700071-8477-2313</t>
  </si>
  <si>
    <t>Septiembre-2020</t>
  </si>
  <si>
    <t>C303700071-8477-2309</t>
  </si>
  <si>
    <t>Agosto-2020</t>
  </si>
  <si>
    <t>C303700071-8477-2306</t>
  </si>
  <si>
    <t>Julio-2020</t>
  </si>
  <si>
    <t xml:space="preserve">C303700071-8477-2303 </t>
  </si>
  <si>
    <t xml:space="preserve">C303700071-8477-2301 
</t>
  </si>
  <si>
    <t xml:space="preserve">C303700071-8477-2300 
</t>
  </si>
  <si>
    <t xml:space="preserve">                              TOTAL Aportes EQUITY</t>
  </si>
  <si>
    <t xml:space="preserve">PK 1+800 </t>
  </si>
  <si>
    <t>PK 0+150</t>
  </si>
  <si>
    <t>PK 0+550</t>
  </si>
  <si>
    <t>MEJORAMIENTO DE CALZADA, CI</t>
  </si>
  <si>
    <t>C303700071-8477-2312</t>
  </si>
  <si>
    <t>Cumplió aporte del mes de Octubre 2020</t>
  </si>
  <si>
    <t>Ajuste IPC Aporte de octubre 31 -2020</t>
  </si>
  <si>
    <t>Aporte anual 2020 ajuste IPC</t>
  </si>
  <si>
    <t>60 meses desde la Fecha de Inicio Ajuste IPC</t>
  </si>
  <si>
    <t>UF 1</t>
  </si>
  <si>
    <t>UF 2</t>
  </si>
  <si>
    <t>UF 3</t>
  </si>
  <si>
    <t>UF 4</t>
  </si>
  <si>
    <t xml:space="preserve">Construcción del acceso vehicular (con un falso túnel) a la Vda,. Guaimaral </t>
  </si>
  <si>
    <t>Sobre la pata del talud rehabilitado, se hace el acopio 'provisional' del material de rezaga que se extrae de las galerías (peatonales / vehiculares), portal Medellín; para después transportarlo a la planta de trituración ubicada en el PK 11+700 o en el PK 1+200 o directamente ser llevado a los sitios donde se requiera un saneo de una plataforma vial. Se utiliza cargador, un Bobcat y algunas volquetas que lo extraen del túnel. Las cantidades de rezaga han disminuido debido a que el túnel ya logro el cale. Se adecuo una sección de la vía para el paso vehicular y poder intervenir la calzada izquierda. En el acopio se trabaja con personal PARE/SIGA y se realiza limpieza con herramienta menor y barridos con cepillo rotativo montado en Bobcat.</t>
  </si>
  <si>
    <t>De acuerdo con el programa de trabajo presentado por el concesionario para la UF3.1.D, el concesionario continuó actividades de excavación, de las galerías de conexión peatonal 6 y vehicular 3, de forma adelantada; teniendo en cuenta las fechas de inicio de construcción, no objetadas por la interventoría.</t>
  </si>
  <si>
    <r>
      <rPr>
        <b/>
        <sz val="11"/>
        <rFont val="Arial"/>
        <family val="2"/>
      </rPr>
      <t xml:space="preserve">PUENTE PK23+500 UF2.1. </t>
    </r>
    <r>
      <rPr>
        <sz val="11"/>
        <rFont val="Arial"/>
        <family val="2"/>
      </rPr>
      <t xml:space="preserve">Para este Puente  ya se terminó la etapa de la construcción de la </t>
    </r>
    <r>
      <rPr>
        <u/>
        <sz val="11"/>
        <rFont val="Arial"/>
        <family val="2"/>
      </rPr>
      <t>INFRAESTRUCTURA TERMINADA</t>
    </r>
    <r>
      <rPr>
        <sz val="11"/>
        <rFont val="Arial"/>
        <family val="2"/>
      </rPr>
      <t>: Construcción de los ESTRIBOS 1 y 2. Construcción de las PILAS 1, 2 y 3.
En cuanto a la</t>
    </r>
    <r>
      <rPr>
        <u/>
        <sz val="11"/>
        <rFont val="Arial"/>
        <family val="2"/>
      </rPr>
      <t xml:space="preserve"> SUPERESTRUCTURA TERMINADA</t>
    </r>
    <r>
      <rPr>
        <sz val="1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</si>
  <si>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1, 2.1 y 4</t>
  </si>
  <si>
    <t>Acuerdo de coexistencia proyectos superpuestos Autopistas al Mar 1 - Conexión Valles de Aburra - Rio Cauca, asociado a las modificaciones de las Licencias Ambientales Resoluciones 00606 del 25-05-17 y 00639 del 02-06-17</t>
  </si>
  <si>
    <t>Acuerdo superposición INVIAS 
Modificación UF1y3
• Según concepto técnico ANLA N°03835 del 19-01-19 presentado por el grupo evaluador de la ANLA, señaló que en cumplimiento del requerimiento N1 del acta 34 del 20-04-18, el Concesionario aportó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
Modificación UF2.1 
• • 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</si>
  <si>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 xml:space="preserve"> Con comunicado D009710 recibido el 05-09-19 se radicó PAGA de Rehabilitación V3.
 Con comunicado EPS4G-1067-19 radicado en el Concesionario con consecutivo 01-01-20190916015546 el 16-09-19, se presenta concepto de No Objeción a la V3 del PAGA de Rehabilitación de la UF4.2
2. Cierre ambiental: 
 Con comunicado EPS4G-0426-20 radicado vía correo electrónico el 30-04-2020, al considerarse cumplidas las obligaciones ambientales a cargo del Concesionario, quedando pendientes por cumplir las obligaciones ambientales que dependen de los tiempos exigidos por las autoridades ambientales para las actividades de compensación, rehabilitación ecológica, rescate, traslado y reubicación de epifitas y brinzales las cuales
</t>
  </si>
  <si>
    <t>PK 1+800</t>
  </si>
  <si>
    <t>PK 2+300</t>
  </si>
  <si>
    <t>PK 2+600</t>
  </si>
  <si>
    <t>PK 10+950</t>
  </si>
  <si>
    <t>Descapote + corte mecánico + perfilado de talud + sostenimiento - CI y Box gemelo # 057 (canalización de la Qda. La San Juana II)</t>
  </si>
  <si>
    <t>PK 17+650</t>
  </si>
  <si>
    <t>Corte talud (perfilación) - Consolidación, cubrimiento y sostenimiento - CD</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</si>
  <si>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SUPERESTRUCTURA TERMINADA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xml:space="preserve">. </t>
    </r>
    <r>
      <rPr>
        <sz val="11"/>
        <rFont val="Arial"/>
        <family val="2"/>
      </rPr>
      <t>Instalación acero de refuerzo y encofrado New Jersey y se funden módulos por ambos costados.  Se termina acabados en módulos fundidos. Pendiente instalación de juntas de dilatación.</t>
    </r>
  </si>
  <si>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TERMINADA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</si>
  <si>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TERMINADA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t>
    </r>
    <r>
      <rPr>
        <sz val="11"/>
        <rFont val="Arial"/>
        <family val="2"/>
      </rPr>
      <t>Instalación acero de refuerzo y encofrado  New Jersey por ambos costados vanos 1, 2 y 3 y se funden. Finalizan acabados.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</si>
  <si>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t>
    </r>
    <r>
      <rPr>
        <sz val="11"/>
        <rFont val="Arial"/>
        <family val="2"/>
      </rPr>
      <t>nstalación acero de refuerzo muro espaldar y aletas Estribo 1 y se funden.  Se instala acero de refuerzo y se funde losa de aproximación Estribo 1.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sísmicos. Se instala acero de refuerzo y se funde losa de aproximación Estribo 2.</t>
    </r>
    <r>
      <rPr>
        <sz val="11"/>
        <color theme="1"/>
        <rFont val="Arial"/>
        <family val="2"/>
      </rPr>
      <t xml:space="preserve">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t>
    </r>
    <r>
      <rPr>
        <sz val="11"/>
        <rFont val="Arial"/>
        <family val="2"/>
      </rPr>
      <t>Instalación acero de refuerzo y encofrado New Jersey por ambos costados y se funden. Se finaliza acabados de módulos fundidos por ambos costados. 
Instalación de pernos de anclaje para juntas de dilatación  provicional, entre los Estribos y el Tablero. Falta instalar la carpeta asfáltica.</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</si>
  <si>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TERMINADA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</si>
  <si>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</si>
  <si>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 TERMINADA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</si>
  <si>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</si>
  <si>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TERMINADA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</si>
  <si>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 6 y 7: Se instalan vigas prefabricadas sobre apoyos de neopreno, instalación de pre-losas, instalación acero de refuerzo de  las losas y diafragmas y se funden</t>
    </r>
    <r>
      <rPr>
        <sz val="11"/>
        <color rgb="FFFF0000"/>
        <rFont val="Arial"/>
        <family val="2"/>
      </rPr>
      <t xml:space="preserve">.  </t>
    </r>
    <r>
      <rPr>
        <sz val="11"/>
        <rFont val="Arial"/>
        <family val="2"/>
      </rPr>
      <t>Se instalan plataformas y acero de refuerzo para voladizos en el vano 1, 2 , 3 y  4  y se funden por ambos costados</t>
    </r>
    <r>
      <rPr>
        <sz val="11"/>
        <color rgb="FFFF0000"/>
        <rFont val="Arial"/>
        <family val="2"/>
      </rPr>
      <t xml:space="preserve">. </t>
    </r>
    <r>
      <rPr>
        <sz val="11"/>
        <rFont val="Arial"/>
        <family val="2"/>
      </rPr>
      <t>Instalación de acero de refuerzo y encofrado construcción de New Jersey por ambos costados, se funden módulos y se realizan acabados en módulos fundidos. Se treminan acabados.</t>
    </r>
    <r>
      <rPr>
        <sz val="11"/>
        <color rgb="FFFF0000"/>
        <rFont val="Arial"/>
        <family val="2"/>
      </rPr>
      <t xml:space="preserve"> Falta instalar juntas de dilatación.</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</si>
  <si>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t>
    </r>
    <r>
      <rPr>
        <sz val="11"/>
        <rFont val="Arial"/>
        <family val="2"/>
      </rPr>
      <t xml:space="preserve"> 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rFont val="Arial"/>
        <family val="2"/>
      </rPr>
      <t>SUPERESTRUCTURA</t>
    </r>
    <r>
      <rPr>
        <u/>
        <sz val="11"/>
        <color rgb="FFFF0000"/>
        <rFont val="Arial"/>
        <family val="2"/>
      </rPr>
      <t xml:space="preserve">
</t>
    </r>
    <r>
      <rPr>
        <sz val="11"/>
        <rFont val="Arial"/>
        <family val="2"/>
      </rPr>
      <t xml:space="preserve">Montaje del equipo lanza-vigas para instalación de vigas a partir del Estribo 2. Instalación de Vigas prefabricadas sobre apoyos de neopreno, pre-losas, acero de refuerzo de la losas y diafragmas y se funden en vanos 9, 8, 7 , 6, 5, 4, 3, 2 y 1. </t>
    </r>
    <r>
      <rPr>
        <sz val="11"/>
        <color rgb="FFFF0000"/>
        <rFont val="Arial"/>
        <family val="2"/>
      </rPr>
      <t xml:space="preserve">
</t>
    </r>
    <r>
      <rPr>
        <sz val="11"/>
        <rFont val="Arial"/>
        <family val="2"/>
      </rPr>
      <t>Instalación de plataforma y acero de refuerzo para voladizo izquierdo y derecho  vanos 9 , 8, 7, 6 , 5, 4 , 3 2  y 1 y se funden</t>
    </r>
    <r>
      <rPr>
        <sz val="11"/>
        <color rgb="FFFF0000"/>
        <rFont val="Arial"/>
        <family val="2"/>
      </rPr>
      <t>.</t>
    </r>
    <r>
      <rPr>
        <sz val="11"/>
        <rFont val="Arial"/>
        <family val="2"/>
      </rPr>
      <t xml:space="preserve"> Instalación acero de refuerzo y encofrado de New Jersey. Se funden módulos por ambos costados. Se realizan acabados.</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</si>
  <si>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  TERMINADA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</si>
  <si>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t>
    </r>
    <r>
      <rPr>
        <sz val="11"/>
        <rFont val="Arial"/>
        <family val="2"/>
      </rPr>
      <t xml:space="preserve"> Instalación plataformas, acero de refuerzo para voladizos 1 y 2 costado derecho e izquierdo  y se funden. Instalación acero de refuerzo y encofrado de New Jersey por ambos costados y se funden módulos.</t>
    </r>
    <r>
      <rPr>
        <sz val="11"/>
        <color rgb="FFFF0000"/>
        <rFont val="Arial"/>
        <family val="2"/>
      </rPr>
      <t xml:space="preserve"> </t>
    </r>
    <r>
      <rPr>
        <sz val="11"/>
        <rFont val="Arial"/>
        <family val="2"/>
      </rPr>
      <t>Se finalizan acabados de módulos fundidos.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</si>
  <si>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t>
    </r>
    <r>
      <rPr>
        <sz val="11"/>
        <rFont val="Arial"/>
        <family val="2"/>
      </rPr>
      <t xml:space="preserve"> Instalación acero de refuerzo y encofrado Viga Cabezal, cuerpo del Estribo calzada derecha y se funde Viga Cabezal con topes sísmicos y pedestales. Se termina de fundir el cuerpo del Estribo.</t>
    </r>
    <r>
      <rPr>
        <sz val="11"/>
        <color theme="1"/>
        <rFont val="Arial"/>
        <family val="2"/>
      </rPr>
      <t xml:space="preserve">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rFont val="Arial"/>
        <family val="2"/>
      </rPr>
      <t>ESTRIBO 2. Instalación acero de refuerzo núcleos de Caissons 9, 10, 11 y 12 y se funden. Se funde slolado para construir Viga Cabezal ambas calzadas. Instalación acero de refuerzo y encofrado Viga Cabezal y se funde con topes sísmicos y pedestales. Instalación acero de refuerzo y encofrado  cuerpo del Estribo y aletas y se funden.</t>
    </r>
    <r>
      <rPr>
        <sz val="11"/>
        <color rgb="FFFF0000"/>
        <rFont val="Arial"/>
        <family val="2"/>
      </rPr>
      <t xml:space="preserve"> </t>
    </r>
    <r>
      <rPr>
        <sz val="11"/>
        <rFont val="Arial"/>
        <family val="2"/>
      </rPr>
      <t>Se instala acero de refuerzo y se funde losa de aproximación.</t>
    </r>
    <r>
      <rPr>
        <sz val="11"/>
        <color rgb="FFFF0000"/>
        <rFont val="Arial"/>
        <family val="2"/>
      </rPr>
      <t xml:space="preserve">
</t>
    </r>
    <r>
      <rPr>
        <u/>
        <sz val="11"/>
        <rFont val="Arial"/>
        <family val="2"/>
      </rPr>
      <t>SUPERESTRUCTURA</t>
    </r>
    <r>
      <rPr>
        <u/>
        <sz val="11"/>
        <color rgb="FFFF0000"/>
        <rFont val="Arial"/>
        <family val="2"/>
      </rPr>
      <t xml:space="preserve">
</t>
    </r>
    <r>
      <rPr>
        <sz val="11"/>
        <rFont val="Arial"/>
        <family val="2"/>
      </rPr>
      <t>Se instalan Vigas prefabricadas sobre apoyos de neopreno en el vano 1 para ambas calzadas. Se construye diafragma, se instalan pre-losas y acero de refuerzo de la losa y se funde. Se instalan Vigas prefabricadas sobre apoyos de neopreno en el Vano 2 calzada derecha e izquierda.Se construyen diafragmas, se instalan pre-losas Tipo B e instalación acero de refuerzo de la losa y se funden. Instalación de plataforma y acero de refuerzo para voladizos costado derecho e izquierdo de la calzada derecha vanos 1 y 2 y se funden. Para la calzada izquierda  vano 2,  se instala plataforma y acero de refuerzo del voladizo costado izquierdo.  y derecho y se funden. Se instala acero de refuerzo y encofrado en defensas tipo New Jersey. se funden módulos costado derecho e izquierdo de las calzadas derecha e izquierda. Se realizan acabados.</t>
    </r>
    <r>
      <rPr>
        <sz val="11"/>
        <color theme="1"/>
        <rFont val="Arial"/>
        <family val="2"/>
      </rPr>
      <t xml:space="preserve">
El avance en excavación y construcción de anillos es del 107,3%</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</si>
  <si>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</si>
  <si>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t>
    </r>
    <r>
      <rPr>
        <u/>
        <sz val="11"/>
        <color theme="1"/>
        <rFont val="Arial"/>
        <family val="2"/>
      </rPr>
      <t>INFRAESTRUCTURA  TERMINADA,</t>
    </r>
    <r>
      <rPr>
        <u/>
        <sz val="11"/>
        <color rgb="FFFF0000"/>
        <rFont val="Arial"/>
        <family val="2"/>
      </rPr>
      <t xml:space="preserve"> </t>
    </r>
    <r>
      <rPr>
        <sz val="11"/>
        <color rgb="FFFF0000"/>
        <rFont val="Arial"/>
        <family val="2"/>
      </rPr>
      <t>Frente de Obra Inactivo.</t>
    </r>
    <r>
      <rPr>
        <sz val="11"/>
        <color theme="1"/>
        <rFont val="Arial"/>
        <family val="2"/>
      </rPr>
      <t xml:space="preserve"> Falta la SUPERESTRUCTURA del Puente.</t>
    </r>
  </si>
  <si>
    <r>
      <rPr>
        <b/>
        <sz val="11"/>
        <color theme="1"/>
        <rFont val="Arial"/>
        <family val="2"/>
      </rPr>
      <t>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r>
      <rPr>
        <sz val="11"/>
        <color rgb="FFFF0000"/>
        <rFont val="Arial"/>
        <family val="2"/>
      </rPr>
      <t xml:space="preserv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</si>
  <si>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TERMINADA.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rFont val="Arial"/>
        <family val="2"/>
      </rPr>
      <t>PILA 2: Instalación acero de refuerzo núcleo caisson 5 y 6 y de funden. Instalación acero de refuerzo y encofrado elevación Columnas y se funden hasta el nivel de la Viga cabezal. Instalación andamios de carga, plataforma, acero de refuerzo, encofrado y se funde Viga cabezal con topes sísmicos y pedestales.
ESTRIBO 2. Instalación acero de refuerzo núcleos Caissons 7 y 8 y se funden. Instalación acero de refuerzo Viga Cabezal y se funde. Instalación acero de refuerzo y encofrado</t>
    </r>
    <r>
      <rPr>
        <sz val="11"/>
        <color theme="1"/>
        <rFont val="Arial"/>
        <family val="2"/>
      </rPr>
      <t xml:space="preserve"> cuerpo del Estribo y se funde.</t>
    </r>
    <r>
      <rPr>
        <sz val="11"/>
        <color rgb="FFFF0000"/>
        <rFont val="Arial"/>
        <family val="2"/>
      </rPr>
      <t xml:space="preserve"> </t>
    </r>
    <r>
      <rPr>
        <sz val="11"/>
        <rFont val="Arial"/>
        <family val="2"/>
      </rPr>
      <t xml:space="preserve">Instalación acero de refuerzo y encofrado aletas, pedestales y topes sísmicos y se funden. Se funde losa aproximación Estribo 2.
</t>
    </r>
    <r>
      <rPr>
        <u/>
        <sz val="11"/>
        <rFont val="Arial"/>
        <family val="2"/>
      </rPr>
      <t xml:space="preserve">SUPERESTRUCTURA
</t>
    </r>
    <r>
      <rPr>
        <sz val="11"/>
        <rFont val="Arial"/>
        <family val="2"/>
      </rPr>
      <t>Instalación de mortero de nivelación con sika Grout spbre pesetales. Montaje del Equipo lanza-vigas.</t>
    </r>
    <r>
      <rPr>
        <sz val="11"/>
        <color rgb="FFFF0000"/>
        <rFont val="Arial"/>
        <family val="2"/>
      </rPr>
      <t xml:space="preserve">
</t>
    </r>
    <r>
      <rPr>
        <sz val="11"/>
        <rFont val="Arial"/>
        <family val="2"/>
      </rPr>
      <t>Vanos 1 , 2 y 3: Instalación de vigas prefabricadas sobre apoyos de neopreno, construcción de diafragmas, instalación de pre-losas, acero de refuerzo de las losas y se funden. Instalación de plataformas y acero de refuerzo voladizos izquierdo  y derecho vanos 1, 2 y 3 y se funden.</t>
    </r>
    <r>
      <rPr>
        <sz val="11"/>
        <color rgb="FFFF0000"/>
        <rFont val="Arial"/>
        <family val="2"/>
      </rPr>
      <t xml:space="preserve"> </t>
    </r>
    <r>
      <rPr>
        <sz val="11"/>
        <rFont val="Arial"/>
        <family val="2"/>
      </rPr>
      <t>Instalación acero de refuerzo y encofrado módulos de New Jersey  ambos costados. y se funden. Se realizan acabados. Falta instalación de juntas de dilatación.</t>
    </r>
    <r>
      <rPr>
        <sz val="11"/>
        <color rgb="FFFF0000"/>
        <rFont val="Arial"/>
        <family val="2"/>
      </rPr>
      <t xml:space="preserve">
</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</si>
  <si>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t>
    </r>
    <r>
      <rPr>
        <u/>
        <sz val="11"/>
        <rFont val="Arial"/>
        <family val="2"/>
      </rPr>
      <t xml:space="preserve">SUPERESTRUCTURA
</t>
    </r>
    <r>
      <rPr>
        <sz val="11"/>
        <rFont val="Arial"/>
        <family val="2"/>
      </rPr>
      <t>Montaje del Equipo lanza-vigas e instalación de mortero de nivelación con Sika Grout sobre pedestales.</t>
    </r>
    <r>
      <rPr>
        <sz val="11"/>
        <color rgb="FFFF0000"/>
        <rFont val="Arial"/>
        <family val="2"/>
      </rPr>
      <t xml:space="preserve">
</t>
    </r>
    <r>
      <rPr>
        <sz val="11"/>
        <rFont val="Arial"/>
        <family val="2"/>
      </rPr>
      <t>Vanos 1 y 2: Instalación de Vigas prefabricadas sobre apoyos de neopreno, construcción de Diafragmas, instalación de pre-losas y acero de refuerzo de las losas y se  funden</t>
    </r>
    <r>
      <rPr>
        <sz val="11"/>
        <color rgb="FFFF0000"/>
        <rFont val="Arial"/>
        <family val="2"/>
      </rPr>
      <t>.</t>
    </r>
    <r>
      <rPr>
        <sz val="11"/>
        <rFont val="Arial"/>
        <family val="2"/>
      </rPr>
      <t xml:space="preserve"> Instalación de plataforma y acero de refuerzo para voladizos ambos costados y se funden</t>
    </r>
    <r>
      <rPr>
        <sz val="11"/>
        <color rgb="FFFF0000"/>
        <rFont val="Arial"/>
        <family val="2"/>
      </rPr>
      <t>.</t>
    </r>
    <r>
      <rPr>
        <sz val="11"/>
        <rFont val="Arial"/>
        <family val="2"/>
      </rPr>
      <t xml:space="preserve"> Instalación acero de refuerzo New Jersey costado izquierdo y derecho y se funden; se realizan acabados. Falta instalación de juntas de dilatación.</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</si>
  <si>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 TERMINADA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 TERMINADA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</si>
  <si>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 TERMINADA: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TERMINADA: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</si>
  <si>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INFRAESTRUCTURA TERMINADA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SUPERESTRUCTURA TERMINADA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</si>
  <si>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t>
    </r>
    <r>
      <rPr>
        <sz val="11"/>
        <rFont val="Arial"/>
        <family val="2"/>
      </rPr>
      <t>Se realiza instalación de baranda metálica por ambos costados del puente. Instalación de anticorrocivo y pintura. Se termina esta actividad.</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</si>
  <si>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</si>
  <si>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</si>
  <si>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</si>
  <si>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r>
      <rPr>
        <b/>
        <sz val="11"/>
        <color theme="1"/>
        <rFont val="Arial"/>
        <family val="2"/>
      </rPr>
      <t>AMPLIACIÓN PUENTE N°3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y se retira el tablero y los New Jersey existentes en el primer vano.  Demolición de losa sobre Vigas existentes. Instalación de plataforma para construcción de voladizos ambos costados. Se realizan perforaciones  y cortes en la losa existente vanos 1, 2 y 3. Se instala concreto de 49 Mpa. para nivelación de vigas vanos 1 , 2 y 3. Se instalan láminas de Steel-Deck , para losa vanos 1 , 2 y 3. Se instala acero de refuerzo losa vanos 1 , 2  y 3 y se funden.</t>
    </r>
    <r>
      <rPr>
        <sz val="11"/>
        <color rgb="FFFF0000"/>
        <rFont val="Arial"/>
        <family val="2"/>
      </rPr>
      <t xml:space="preserve"> Falta instalacaión de la baranda.</t>
    </r>
  </si>
  <si>
    <t>Ampliación Puente 23 La Muñoz II UF2.1</t>
  </si>
  <si>
    <t>Ampliación Puente 24 La Guaracú II UF2.1</t>
  </si>
  <si>
    <t>Ampliación Puente 28 El Sapo UF2.1</t>
  </si>
  <si>
    <t>Ampliación Puente 27 La Guaira UF2.1</t>
  </si>
  <si>
    <t>Ampliación Puente 3 La Cola UF1</t>
  </si>
  <si>
    <t>Ampliación Puente 1  La Negra UF1</t>
  </si>
  <si>
    <t>Ampliación Puente 4  La Nuez UF1</t>
  </si>
  <si>
    <t>Ampliación Puente 5  La Causala UF1</t>
  </si>
  <si>
    <t>Ampliación Puente 11  La Roncha UF1</t>
  </si>
  <si>
    <t>Ampliación Puente 9  San Gregorio UF1</t>
  </si>
  <si>
    <t>Ampliación Puente 2  La Volcana UF1</t>
  </si>
  <si>
    <t>Puente PK21+500 UF2.1.  .Instalación de concreto módulos defensas tipo New Jersey, costado izquierdo. Inactivo</t>
  </si>
  <si>
    <t>Puente PK21+500 UF2.1.  Acabados módulos defensas tipo New Jersey, ambos costados vanos 1 y 2. Inactivo</t>
  </si>
  <si>
    <r>
      <t xml:space="preserve">De  acuerdo con el programa de trabajo presentado por el concesionario para la </t>
    </r>
    <r>
      <rPr>
        <b/>
        <sz val="11"/>
        <rFont val="Arial"/>
        <family val="2"/>
      </rPr>
      <t>UF3.1.D</t>
    </r>
    <r>
      <rPr>
        <sz val="11"/>
        <rFont val="Arial"/>
        <family val="2"/>
      </rPr>
      <t xml:space="preserve">, el concesionario continuó actividades de instalación del revestimiento y construcción drenajes Dint=14", en túnel principal, </t>
    </r>
    <r>
      <rPr>
        <b/>
        <sz val="11"/>
        <rFont val="Arial"/>
        <family val="2"/>
      </rPr>
      <t>Portal Medellín</t>
    </r>
    <r>
      <rPr>
        <sz val="11"/>
        <rFont val="Arial"/>
        <family val="2"/>
      </rPr>
      <t>, sin atrasos evidentes.</t>
    </r>
  </si>
  <si>
    <t>De acuerdo con el programa de trabajo presentado por el concesionario para la UF3.1.D, el concesionario continuó actividades de instalación del revestimiento y construcción drenajes Dint=14", en túnel principal, Portal Santa Fe, sin atrasos evidentes.</t>
  </si>
  <si>
    <t xml:space="preserve">Programa 4. Información y participación comunitaria </t>
  </si>
  <si>
    <t>C303700071-8477-0055</t>
  </si>
  <si>
    <t>C303700071-8477-2294</t>
  </si>
  <si>
    <t>C303700071-8477-2287</t>
  </si>
  <si>
    <t>C303700071-8477-2286</t>
  </si>
  <si>
    <t>No hay certificación de este fondeo</t>
  </si>
  <si>
    <t>C303700071-8477-2280</t>
  </si>
  <si>
    <t>C303700071-8477-2277</t>
  </si>
  <si>
    <t>C303700071-8477-2273</t>
  </si>
  <si>
    <t>Fecha del fondeo 27 de noviembre de 2018</t>
  </si>
  <si>
    <t>C303700071-8477-2272</t>
  </si>
  <si>
    <t>Fecha del fondeo 28 de noviembre de 2018 / Esta certificación tiene el mismo numero de certificación del giro 13, pero son dos documentos diferentes.</t>
  </si>
  <si>
    <t>C303700071-8477-2270</t>
  </si>
  <si>
    <t>C303700071-8477-2268</t>
  </si>
  <si>
    <t>C303700071-8477-2265</t>
  </si>
  <si>
    <t>C303700071-8477-2264</t>
  </si>
  <si>
    <t>C303700071-8477-2261</t>
  </si>
  <si>
    <t>C303700071-8477-2260</t>
  </si>
  <si>
    <t>Fecha del fondeo 02 de mayo de 2018</t>
  </si>
  <si>
    <t>C303700071-8477-2257</t>
  </si>
  <si>
    <t>C303700071-8477-2255</t>
  </si>
  <si>
    <t>C303700071-8477-2251</t>
  </si>
  <si>
    <t>C303700071-8477-2246</t>
  </si>
  <si>
    <t>C303700071-8477-2247</t>
  </si>
  <si>
    <t>C303700071-8477-1491</t>
  </si>
  <si>
    <t>C303700071-8477-2304</t>
  </si>
  <si>
    <t>C303700071-8477-2302</t>
  </si>
  <si>
    <t>C303700071-8477-2299</t>
  </si>
  <si>
    <t>C303700071-8477-2296</t>
  </si>
  <si>
    <t>C303700071-8477-2295</t>
  </si>
  <si>
    <t>C303700071-8477-2292</t>
  </si>
  <si>
    <t>C303700071-8477-2291</t>
  </si>
  <si>
    <t>C303700071-8477-2290</t>
  </si>
  <si>
    <t>C303700071-8477-2285</t>
  </si>
  <si>
    <t>C303700071-8477-2279</t>
  </si>
  <si>
    <t>C303700071-8477-2278</t>
  </si>
  <si>
    <t>C303700071-8477-2275</t>
  </si>
  <si>
    <t>C303700071-8477-2267</t>
  </si>
  <si>
    <t>C303700071-8477-2263</t>
  </si>
  <si>
    <t>C303700071-8477-2256</t>
  </si>
  <si>
    <t>C303700071-8477-2254</t>
  </si>
  <si>
    <t>C303700071-8477-2250</t>
  </si>
  <si>
    <t>C303700071-8477-2305</t>
  </si>
  <si>
    <t>C303700071-8477-2289</t>
  </si>
  <si>
    <t>C303700071-8477-2288</t>
  </si>
  <si>
    <t>C303700071-8477-2274</t>
  </si>
  <si>
    <t>Valor del fondeo 76.344.124</t>
  </si>
  <si>
    <t>Valor del fondeo 387.419.066</t>
  </si>
  <si>
    <t>No hay certificación</t>
  </si>
  <si>
    <t>C303700071-8477-2276</t>
  </si>
  <si>
    <t>C303700071-8477-2271</t>
  </si>
  <si>
    <t>C303700071-8477-2262</t>
  </si>
  <si>
    <t>C303700071-8477-2258</t>
  </si>
  <si>
    <t>C303700071-8477-2281</t>
  </si>
  <si>
    <t>Fecha del fondeo 26 de mayo de 2020</t>
  </si>
  <si>
    <t>C303700071-8477-2298</t>
  </si>
  <si>
    <t>C303700071-8477-2297</t>
  </si>
  <si>
    <t>C303700071-8477-2293</t>
  </si>
  <si>
    <t>C303700071-8477-2284</t>
  </si>
  <si>
    <t>C303700071-8477-2269</t>
  </si>
  <si>
    <t>C303700200-8477-0401</t>
  </si>
  <si>
    <t>C303700200-8477-0399</t>
  </si>
  <si>
    <t>C303700200-8477-0361</t>
  </si>
  <si>
    <t>C303700200-8477-0336</t>
  </si>
  <si>
    <t>C303700200-8477-0309</t>
  </si>
  <si>
    <t>C303700200-8477-0273</t>
  </si>
  <si>
    <t>C303700200-8477-0262</t>
  </si>
  <si>
    <t>Fecha del aporte 18 de marzo de 2019</t>
  </si>
  <si>
    <t>C303700200-8477-0139</t>
  </si>
  <si>
    <t>C303700200-8477-0102</t>
  </si>
  <si>
    <t>C303700200-8477-0088</t>
  </si>
  <si>
    <t>C303700200-8477-1343</t>
  </si>
  <si>
    <t>C303700200-8477-1164</t>
  </si>
  <si>
    <t>C303700200-8477-1096</t>
  </si>
  <si>
    <t>C303700200-8477-1018</t>
  </si>
  <si>
    <t>C303700200-8477-0933</t>
  </si>
  <si>
    <t>C303700200-8477-0762</t>
  </si>
  <si>
    <t>C303700200-8477-0367</t>
  </si>
  <si>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 xml:space="preserve"> El concesionario deja abandonada esta obra.</t>
    </r>
    <r>
      <rPr>
        <sz val="11"/>
        <color theme="1"/>
        <rFont val="Arial"/>
        <family val="2"/>
      </rPr>
      <t xml:space="preserve">
El avance en excavación y construcción de anillos es del 69,1%</t>
    </r>
  </si>
  <si>
    <t>Ampliación Puente N°5 PK3+183 UF1 Quebrada La Causala. Losa fundida y retiro de plataforma voladizo vano 3. Inactivo</t>
  </si>
  <si>
    <r>
      <rPr>
        <b/>
        <sz val="11"/>
        <color theme="1"/>
        <rFont val="Arial"/>
        <family val="2"/>
      </rPr>
      <t xml:space="preserve">Licencia Ambiental </t>
    </r>
    <r>
      <rPr>
        <sz val="11"/>
        <color theme="1"/>
        <rFont val="Arial"/>
        <family val="2"/>
      </rPr>
      <t xml:space="preserve">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t>
    </r>
    <r>
      <rPr>
        <sz val="12"/>
        <rFont val="Arial"/>
        <family val="2"/>
      </rPr>
      <t/>
    </r>
  </si>
  <si>
    <r>
      <t xml:space="preserve">• Concesionario realizó presentación a la ANLA el 26-06-18 del estado del proceso de elaboración del acuerdo de coexistencia entre proyectos superpuestos “Conexión valles de aburra- Rio Cauca” – “Autopistas al Mar 1” en el marco de los trámites de solicitud de modificación de licencias ambientales, lo anterior teniendo en cuenta las dificultades presentadas durante la gestión realizada ante el INVIAS por parte del Concesionario para lograr la firma del acuerdo de Coexistencia de proyectos superpuestos.
</t>
    </r>
    <r>
      <rPr>
        <b/>
        <sz val="11"/>
        <color theme="1"/>
        <rFont val="Arial"/>
        <family val="2"/>
      </rPr>
      <t xml:space="preserve">De acuerdo a lo anterior y en vista que durante el proceso de evaluación del trámite de modificación no se logro presentar un acuerdo de coexistencia la ANLA realizó visita de evaluación al proyecto pronunciándose en el concepto técnico del grupo evaluador  N°03835 del 19-01-18 y la Resolución de Modificación de la Licencia Ambiental  ANLA 02472 del 27-12-18 </t>
    </r>
    <r>
      <rPr>
        <sz val="11"/>
        <color theme="1"/>
        <rFont val="Arial"/>
        <family val="2"/>
      </rPr>
      <t xml:space="preserve">
• 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r>
  </si>
  <si>
    <r>
      <rPr>
        <b/>
        <sz val="11"/>
        <rFont val="Arial"/>
        <family val="2"/>
      </rPr>
      <t>Primera solicitud Sustracción de Reserva</t>
    </r>
    <r>
      <rPr>
        <sz val="11"/>
        <rFont val="Arial"/>
        <family val="2"/>
      </rPr>
      <t xml:space="preserve">: Con Acuerdo del Consejo Directivo de Corantioquia N°180-ACU1706-499 del 09-06-17, negó sustracción del área de Reserva Ribereña del Río Cauca para las actividades de Mejoramiento y Construcción de las UF2.1. 
 </t>
    </r>
    <r>
      <rPr>
        <b/>
        <sz val="11"/>
        <rFont val="Arial"/>
        <family val="2"/>
      </rPr>
      <t>Segunda solicitud de sustracción de Reserva</t>
    </r>
    <r>
      <rPr>
        <sz val="11"/>
        <rFont val="Arial"/>
        <family val="2"/>
      </rPr>
      <t>: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r>
  </si>
  <si>
    <t>Modificación Licencia Ambiental Resolución 00606 del 25 de mayo de 2017 
UF1 y UF3 punto de vertimiento Q. la Culebra</t>
  </si>
  <si>
    <t>• Con Resolución 00885 del 22-05-19 ANLA autorizó Modificación de Licencia Ambiental Resolución 00639, asociada a la inclusión del Polígono de la fuente de materiales Q. Seca. Esta pendiente dentro del plazo, por el Concesionario definir si interpondrá Recurso de reposición para las actividades que no fueron aprobadas
Autorización temporal Q. Seca
•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</si>
  <si>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</si>
  <si>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Según ajustes realizados por el concesionario se informó que no se requiere de SRRRC para la Modificación de la Licencia Ambiental  UF2.1.</t>
  </si>
  <si>
    <t xml:space="preserve">• Solicitud con radicado Corantioquia 120-COE1811-37916 del 23-11-18.
• Visita de evaluación el 20-12-18
• Auto de inicio 040-ADM1812-6183 del 10-12-18
• Con consecutivo D-4079-2018-1 radicado el 28-12-18, concesionario remitió ajustes al documento de solicitud de SRRRC enviado con radicado 120-COE1811-37916 
•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</si>
  <si>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Se negó con Resolución Corantioquia 040-RES1706-2857 el 07-06-17 primera solicitud asociada a la Licencia Ambiental Resolución 0639 del 02-06-18
Se negó con Resolución Corantioquia 040-RES1712-7098 del 14-12-17  y notificada el 04-01-18, segunda solicitud 
Aprobó con resolución Con resolución Corantioquia 040-RES1808-4625 del 01-08-18 notificada el 09-08-18   tercera solicitud</t>
  </si>
  <si>
    <t>• Corantioquia autorizó levantamiento de veda regional con resolución 040-RES1901-111 del 15-01-19</t>
  </si>
  <si>
    <t xml:space="preserve">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 </t>
  </si>
  <si>
    <t>Se autorizó con Resolución Corantioquia 160HX-RES1711-6262 del 14-11-17</t>
  </si>
  <si>
    <t xml:space="preserve">Programa 1. Atención al usuario </t>
  </si>
  <si>
    <t>Seguimiento Ofcina fija de atención al usuario .</t>
  </si>
  <si>
    <t>REGISTRO FOTOGRAFICO</t>
  </si>
  <si>
    <t xml:space="preserve">N° </t>
  </si>
  <si>
    <t>ELABORÓ</t>
  </si>
  <si>
    <t>RCM</t>
  </si>
  <si>
    <t>EAUP</t>
  </si>
  <si>
    <r>
      <rPr>
        <b/>
        <sz val="11"/>
        <color theme="1"/>
        <rFont val="Arial"/>
        <family val="2"/>
      </rPr>
      <t xml:space="preserve">PUENTE PK23+860 UF2.1. (MARCO SOPETRAN )
</t>
    </r>
    <r>
      <rPr>
        <sz val="11"/>
        <color theme="1"/>
        <rFont val="Arial"/>
        <family val="2"/>
      </rPr>
      <t xml:space="preserve">En este marco construido, se observa fisura longitudinal por el centro de la losa superior cara inferior, lo mismo que en la cara superior  y hacia el costado izquierdo cerca del muro vertical. El concesionario esta instalando acero de refuerzo para construir una viga en concreto reforzado en la losa inferior a la entrada y salida del Box-Coulvert. El mismo procedimiento lo esta realizaren la losa superior, para mitigar estas fisuras. La interventoría solicitó al concesionario el diseño y procedimiento que se esta utilizando. El concesionario envió respuesta al comunicado EPS4G-0718-20, adjunntando el RFI-277 con oficio 02-01-20200728002163. La interventoría da la No Objeción con oficio EPS4G-0801-20 del 5 de Agosto de 2020.
</t>
    </r>
    <r>
      <rPr>
        <sz val="11"/>
        <rFont val="Arial"/>
        <family val="2"/>
      </rPr>
      <t>El concesionario de acuerdo al diseño presentado construye Vigas en concreto reforzado complementarias en la losa inferior y superior. Se realiza instalación de acero de refuerzo y encofrado para las defensas tipo New Jersey en la losa superior y se funden. Se termina actividad. Instalación acero de refuerzo losa aproximación lado Medellín y se funde. Se instala acero de refuerzo losa aproximación lado Santafé de Antioquia y se funde.</t>
    </r>
  </si>
  <si>
    <r>
      <rPr>
        <b/>
        <sz val="11"/>
        <color theme="1"/>
        <rFont val="Arial"/>
        <family val="2"/>
      </rPr>
      <t>AMPLIACIÓN PUENTE N°5 QUEBRADA LA CAUSALA . PK3+183 UF1.</t>
    </r>
    <r>
      <rPr>
        <sz val="11"/>
        <color theme="1"/>
        <rFont val="Arial"/>
        <family val="2"/>
      </rPr>
      <t xml:space="preserve"> </t>
    </r>
    <r>
      <rPr>
        <sz val="11"/>
        <rFont val="Arial"/>
        <family val="2"/>
      </rPr>
      <t xml:space="preserve"> El concesionario inicia actividades el 15 de septiembre de 2020.</t>
    </r>
    <r>
      <rPr>
        <sz val="11"/>
        <color theme="1"/>
        <rFont val="Arial"/>
        <family val="2"/>
      </rPr>
      <t xml:space="preserve">  Este Puente está conformado por 3 luces en Vigas postensadas para una luz total de 75m.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Para el vano 1 se instala metal-deck , plataforma para los voladizos, instalación acero de refuerzo de la losa y se funde. En el vano 3, se realiza retiro de secciones de la losa,  New Jersey y demolición de tablero sobre Vigas. En Vanos 2 y 3, se instala plataforma voladizo, metal deck y acero de refuerzo de la losa y se funden.</t>
    </r>
    <r>
      <rPr>
        <sz val="11"/>
        <color rgb="FFFF0000"/>
        <rFont val="Arial"/>
        <family val="2"/>
      </rPr>
      <t xml:space="preserve"> Falta instalar baranda metálica.</t>
    </r>
  </si>
  <si>
    <r>
      <rPr>
        <b/>
        <sz val="11"/>
        <color theme="1"/>
        <rFont val="Arial"/>
        <family val="2"/>
      </rPr>
      <t>AMPLIACIÓN PUENTE N°11 QUEBRADA LA RONCHA . PK8+790 UF1.</t>
    </r>
    <r>
      <rPr>
        <sz val="11"/>
        <color theme="1"/>
        <rFont val="Arial"/>
        <family val="2"/>
      </rPr>
      <t xml:space="preserve"> </t>
    </r>
    <r>
      <rPr>
        <sz val="11"/>
        <color rgb="FF00B0F0"/>
        <rFont val="Arial"/>
        <family val="2"/>
      </rPr>
      <t xml:space="preserve"> </t>
    </r>
    <r>
      <rPr>
        <sz val="11"/>
        <rFont val="Arial"/>
        <family val="2"/>
      </rPr>
      <t xml:space="preserve">El concesionario inicia actividades el 10 de septiembre de 2020. </t>
    </r>
    <r>
      <rPr>
        <sz val="11"/>
        <color theme="1"/>
        <rFont val="Arial"/>
        <family val="2"/>
      </rPr>
      <t xml:space="preserve">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 retiro de carpeta asfáltica existente mediante fresado. Perforaciones a la losa existente con saca núcleos y cortes en la losa de aproximadamente 1,80X3,50 m  para retiro del tablero y los New Jersey existentente.  Se  retira  tablero y New Yersey en los vanos 1 y 2 . Se realiza demolición de tablero sobre Vigas. En los vanos 1 y 2 se instala metal deck, formaleta para voladizos, acero de refuerzo de la losas y se funden.</t>
    </r>
    <r>
      <rPr>
        <sz val="11"/>
        <color rgb="FFFF0000"/>
        <rFont val="Arial"/>
        <family val="2"/>
      </rPr>
      <t xml:space="preserve"> Falta instalar la baranda metálica.</t>
    </r>
  </si>
  <si>
    <t xml:space="preserve">Acopio de material de rezaga, portal Santafe. </t>
  </si>
  <si>
    <t xml:space="preserve">Inactivo. La plataforma de la segunda calzada cuenta con la capa intermedia asfáltica tipo MSC-25. Se han colocado tramos con defensas metálicas tipo bionda. Sobre el PK 0+600 se termino la consolidación de un tramo corto del talud de corte (que da apoyo a la actual calzada), perforando huecos para colocar pernos pasivos + malla electrosoldada + drenes en PVC + concreto lanzado. Sobre el tramo, circula todo el transito automotor y se interviene la calzada existente. </t>
  </si>
  <si>
    <t>Perdida de banca, La Potrera - CD * Muro en HA # 167</t>
  </si>
  <si>
    <t xml:space="preserve">Inactivo. Un largo tramo fue intervenido con fresados. Algunos tramos implico adición y cambio de granulares (en todo o parte del ancho de calzada). Se aplico la mezcla asfáltica en caliente tipo MSC-25. Mientras tanto, todo el tramo se sigue interviniendo con el desmantelamiento y la ampliación de los puentes vehiculares existentes.
La calzada nueva "opuesta o CI" desde la Qda. Saltos y Pisquines hasta la Rochela, se dio al servicio del transito vehicular previa demarcación + señalización y colocación de defensas metálicas.  Sector Limites municipales / Eutimio. </t>
  </si>
  <si>
    <t>Inactivo. Se realizo excavación mecánica (con CAT 330 D2L) y cargue de materiales. También se demolió muro "incompleto" (en HA, # 033) hecho por el Concesionario. Este trabajo se debe al acondicionamiento del nuevo trazado vial que tendrá un largo tramo. Sector cercano a Mestizal II</t>
  </si>
  <si>
    <t xml:space="preserve">Inactivo. Continua colocada una instrumentación al terraplén fallado (se instalaron inclinómetros y piezómetros a h= 25 m. y a 22 m). Se toman datos y se realiza monitoreo. 
Realizada la construcción un diente de cortante de forma trapezoidal (escollera "con el uso de bloques de piedra" + concreto; de 4m x 2.7m) a manera de llave sobre este y también detrás del mismo se realizo la construcción de los drenajes profundos (primarios y secundarios) empleando tubería de 3" + pozos drenantes y de 8". De esta manera el agua recogida verterá sus aguas a la cañada. 
Terminada la construcción del muro escollera con la colocación y el acomodo de grandes rocas superpuestas una a la otra, utilizando excavadora CAT 330 D2L; se entro de inmediato en la etapa siguiente se utiliza un bulldozer CAT D6T y un vibro pesado (para los afirmados) de aro y llanta Hamm.  Se tiene el extendido de las primeras capas de llenos compactados para un primer banco y con un ancho de 8 m. Hay estacas que marcan llenos de mas de 20 m., de altura y con talud de 2 1/4H:1V. Se trae material de La Rochela. Lluvias afectan los trabajos de corte / excavación / acarreos.   </t>
  </si>
  <si>
    <t>Inactivo. Mediante el uso del tren o equipo de pavimentación Dynapac, se extendió y coloco la capa intermedia de mezcla asfáltica tipo MSC-25. Seguidamente se hizo la demarcación horizontal, utilizando pintura para trafico (B/A) a base de agua. También se instalaron defensas metálicas tipo bionda. Se habilito el paso del transito automotor para liberar y entrar a rehabilitar la calzada existente.</t>
  </si>
  <si>
    <t xml:space="preserve">Se realizo actividad de instalación y extendido de material de fresado, sobre la vía de acceso al negocio de Las Grutas o PK 13+200 CI (o sobre la segunda terraza).
Sobre el PK 15+400 CD hubo instalación del fresado en vía acceso antigua bloquera, sector antes de llegar a Tamarindos. Hay acopio temporal y voluminoso en el PK 0+400 CI o sector de La Volcana. También se esta utilizando el fresado para combinarlo y utilizarlo con los granulares de sub base (se mezcla en proporción 4:1).  </t>
  </si>
  <si>
    <t xml:space="preserve">Inactivo. Los cortes sobre los taludes (en cajón) mostraron desde su comienzo ser altamente erosionables y se formaron poco a poco deslaves y surcos, pero debido a un fuerte y prolongado aguacero (toda la noche del 19 de Ago.) el talud mas alto y con forma longitudinal curvo sufrió descompresión en varios tramos. Si estos 4 fallos iniciales se logran encadenar por mas lluvias, los daños pueden llegar a sobrepasar el limite predial / ambiental. La temporada invernal sigue afectando el estado de los agrietamientos. Sigue habilitado "por un carril" el transito automotor con dirección "bajando" hacia San Jerónimo. Sector o Zona Urbana de San Jerónimo y limites con la UF-1.0. </t>
  </si>
  <si>
    <t xml:space="preserve">Excavaciones mecánicas CI, como intersección o enlace en superficie - Boxculvert # 209 y ODTs - Zona urbana de San Jerónimo </t>
  </si>
  <si>
    <t xml:space="preserve"> Protección de talud contra caídas de rocas - Muro escalonado en HA # 168</t>
  </si>
  <si>
    <t>Mejoramiento de calzada</t>
  </si>
  <si>
    <t>Inactivo. Después de realizar la actividad de demarcación horizontal sobre la CD, con el uso de pintura para trafico B/A se autorizo el desvío del transito automotor. 
Se intervino la calzada existente con fresado en frio levantando toda su capa asfáltica, se imprimaron los granulares y se coloco la capa MSC-25. Sector El Sapo - Meloneras.</t>
  </si>
  <si>
    <t>Calzada en mejoramiento: Fresado de carpeta asfáltica y/o demolición, drenajes + ODTs en tubería + Muro en HA # 042</t>
  </si>
  <si>
    <t xml:space="preserve">INTERCAMBIADOR VIAL o ENLACE: Muros en TA + Marco en HA # 040 Se incluyen: llenos sobre el trasdós / intradós + Drenajes + Redes ITS + traslado de redes secas y nueva torre eléctrica. </t>
  </si>
  <si>
    <t>Se tienen 2 muros en TA (enfrentados) que contienen el terraplén de descenso (como relleno retenido) y un terraplén en ascenso con el muro # 057 o K 23+720; y así se direccionara el transito en sentido San Jerónimo - Santafé de Antioquia.  
Muro en TA PK 23+930 (# 058 con L= 121.5 m en CD), terminado. La rasante ya cuenta con capa asfáltica MSC-25 
Muro del PK 23+920 o muro TA ( # 059 con L= 103 m en CD), está terminado. La rasante ya cuenta con capa asfáltica MSC-25
b) El Marco del K 23+860 (# 040). La rasante ya cuenta con capa asfáltica MSC-25. Sobre este tramo largo personal instala sardineles prefabricados previo el corte de capa asfáltica con disco diamantado. 
El conjunto de todas estas obras, vienen a ser a futuro la solución para el transito vehicular "en altura" en el sentido San Jerónimo - Santafé de Antioquia y para el transito vehicular "en superficie" entre Santafé de Antioquia - Sopetrán. 
c) Para el transito vehicular en el sentido Sopetrán - Santafé, ya se tiene la calzada (o enlace K 0+140 a K0+330) exclusiva en este sentido de circulación con su capa asfáltica intermedia tipo MSC-25, con un ancho de 7 m.. A esta vía, que tiene un trazado paralelo al Rio Aurrá, la acompaña lateralmente un anden o sendero peatonal (1.6 m de ancho) bordeando también el rio, anden que ira a terminar en el sitio turístico de Piedras Verdes.           
Hay trabajos de paisajismo colocando material orgánico traído del sector del Ahuyamal. Continua el plan de manejo del transito, que fijo los desvíos y/o conexión vehicular con Sopetrán y la vía antigua. Sector variante y Partidas de Sopetrán.</t>
  </si>
  <si>
    <t xml:space="preserve">Inactivo. Box, terminada su construcción. En zona anexa se realizaron cortes de carpeta de pavimento (con disco diamantado) a fin de continuar la construcción de cunetas en concreto con sección en L. Se utilizara concreto premezclado de 21 MPa. Sobre el costado del descole se construye un anden peatonal utilizando sardineles prefabricados. Hay pajarita CAT realizando trabajos de paisajismo, se trae material orgánico del sector del Ahuyamal. </t>
  </si>
  <si>
    <t>Inactivo. Se realizo actividad de paisajismo en los anillos viales del retorno (con pajarita CAT 416F) incluyendo la construcción de sardineles en concreto y de cunetas con sección en L y en V. Hubo sembrado de palmas. Siguen detenidos los trabajos sobre el encole de la ODT # 110 x 1500 mm.</t>
  </si>
  <si>
    <t xml:space="preserve">Inactivo. Realizada la totalidad de llenos (sub base y base granular) debidamente compactados se les realizo la imprimación utilizando emulsión asfáltica de rompimiento lento. Se seguirá acondicionando el acceso a Sindelhato. Se habilitaron entradas (a un nivel mas bajo) para fincas sobre el CD. Hacia el final del frente de obra (o PK mayor) se construyo buzón y descole. El transito automotor circula por la calzada antigua. </t>
  </si>
  <si>
    <t>Consolidación del talud de corte y Trabajos en la Bahía (Ahuyamal). CI</t>
  </si>
  <si>
    <t>PK 27+800 CD</t>
  </si>
  <si>
    <t>Acceso a La Puerta (falso túnel)</t>
  </si>
  <si>
    <t>Inactivo. 
Actividad de consolidación con pernos pasivos de anclaje # 10 y con L= 9 m. Se coloca sobre la cara expuesta del talud, paneles de malla electrosoldada de acero (15x15x6) + lagrimales en PVC. También se fundieron dados de apoyo (en concreto 20 x 20 cm) de las platinas y tuercas en cada uno de los anclajes. En los trabajos se trabaja con personal suspendido. Sector Tierra Mítica.</t>
  </si>
  <si>
    <t xml:space="preserve">Inactivo. Se realizo demolición de cunetas en concreto "recién construidas" para corregir su desnivel y que no se detenga el agua lluvia formando una piscina. La solución es la construcción de un canal que verterá las aguas hacia el buzón de la ODT # 151. Personal termino el tapado con mortero de cemento de los faltantes entre el concreto lanzado y el bordillo de las cunetas. Se tiene transito automotor por la nueva calzada (en una dirección) y por la antigua calzada (en otra dirección), suprimiéndose totalmente un PARE / SIGA. Sector de La Laguna. </t>
  </si>
  <si>
    <t>PK 33+500 CI</t>
  </si>
  <si>
    <t>Muro en TA # 164 (Aproche o rampa sobre el estribo #2 del nuevo puente sobre el Rio Cauca + ODT x 1500 mm</t>
  </si>
  <si>
    <t>Inactivo. Se realizo la penúltima conexión entre ODT´s tipo Box. Al tramo del box reconstruido se le construyeron sus drenajes laterales previa impermeabizacion de sus paredes (o de los paramentos enterrados) y la colocación de paneles de geodren planar (o lamidren). En su parte intermedia se termino la construcción del buzón en su zona media y queda pendiente el extendido y colocación de llenos y material seleccionado (sub base + base granular) hasta encontrar el nivel de subrasante. La zona sigue señalizada y protegida con maletines.</t>
  </si>
  <si>
    <t>3</t>
  </si>
  <si>
    <t>FOTO 7</t>
  </si>
  <si>
    <t>FOTO 8</t>
  </si>
  <si>
    <t>FOTO 9</t>
  </si>
  <si>
    <t>FOTO 10</t>
  </si>
  <si>
    <t>Inactivo. Se terminaron actividades sobre el terraplén. Se le realizo impermeabilización exterior (sobre el paramento en contacto con tierras) con pintura bituminosa en el canal abierto de conducción de aguas y también se termina la construcción del buzón intermedio. La ODT construida fue en tubería Titan x 1500 mm. 
El trayecto se encuentra en cota de sub rasante. Hacia el PK menor, se tiene un gran acopio de material de fresado o RAP y material granular. 
El tramo solo se permite para el transito temporal de los vehículos y equipos de la Concesión. Sector El Arriero.</t>
  </si>
  <si>
    <t xml:space="preserve">Inactivo. Se realizo la colocación de material tipo sub base y base granular; sobre el antiguo sector Margarita del 8 o variante a San Jerónimo. Se aplico emulsión asfáltica de curado lento y se extendió la capa asfáltica intermedia tipo MSC-25. Con su señalización o demarcación horizontal se habilito al servicio del transito automotor un largo tramo siendo utilizado para el rodaje el nuevo puente sobre la Guaracú I . </t>
  </si>
  <si>
    <t>Inactivo. Se hizo el fresado en frio con el equipo Wirtgen W-150 en todo el ancho de la plataforma vial con 16 cm., de profundidad. También hubo actividad de instalación de aceros para prolongación de box en la CI o PK15+200, se utilizaran los muros existentes y se prolongo con L= 3.2 m., sobre el box culvert # 071. Se reviste con concreto lanzado un tramo faltante (que fue cortado para construir filtros) sobre la pata del talud. Éste corto tramo ya cuenta con capa asfáltica en caliente tipo MSC-25 pero el transito automotor sigue habilitado por la cazada opuesta. Sector frente al Llanerito.</t>
  </si>
  <si>
    <t>PK 19+600 CI</t>
  </si>
  <si>
    <t xml:space="preserve">a) Inactivo. Se trabajo en las ODT # 139, # 140 y # 141. Se trabajo en buzón y en disipador sobre estas ODTs. Se realizan trabajos de paisajismo. Ahora se colocan defensas metálicas tipo bionda, se utiliza el martillo hidráulico montado en un equipo Bobcat. Al talud del terraplén se le realizo una hidrosiembra y se le protegió con manto anti erosión.       
b) Inactivo. La calzada opuesta a este frente (o PK 27+700 CI), ya cuenta con la capa asfáltica en caliente tipo MSC-25. Se realizaron cortes con disco diamantado (sobre la capa asfáltica) para la construcción de cunetas en concreto (premezclado de 21 MPa) se funden por el sistema de ajedrezado y con sección hidráulica en L. Se realizaron arreglos a entradas de fincas de particulares.       </t>
  </si>
  <si>
    <t>PK 26+600 CI. Con maquinaria tipo bulldozer CAT D6T, se realiza el extendido de material de llenos. Su compactación se realiza con vibro pesado para afirmados, Hamm. Sector intervenido, Bahía del Ahuyamal</t>
  </si>
  <si>
    <r>
      <rPr>
        <b/>
        <sz val="11"/>
        <color theme="1"/>
        <rFont val="Arial"/>
        <family val="2"/>
      </rPr>
      <t>AMPLIACIÓN PUENTE N°4 QUEBRADA LA NUEZ . PK2+600 UF1.</t>
    </r>
    <r>
      <rPr>
        <sz val="11"/>
        <color theme="1"/>
        <rFont val="Arial"/>
        <family val="2"/>
      </rPr>
      <t xml:space="preserve">  El concesionario inicia actividades el 3 de agosto de 2020.  Este Puente está conformado por 3 luces en Vigas postensadas para una luz total de 80m.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Se  retira  tablero y New Yersey vanos 1 y 2. Instalación de plataforma para voladizo, Steel-Deck, acero de refuerzo losa vanos 1 y 2 y se funden. Retiro de tablero y New Jersey existentes en vano 3. Para este Vano se instala metal deck, plataforma de voladizos, acero de refuerzo de la losa y se funde</t>
    </r>
    <r>
      <rPr>
        <sz val="11"/>
        <color rgb="FFFF0000"/>
        <rFont val="Arial"/>
        <family val="2"/>
      </rPr>
      <t>. Perforaciones para instalación de platinas baranda vehicular. Instalación de platinas 5/8", pernos y parales IPE-220 costado izquierdo.</t>
    </r>
  </si>
  <si>
    <r>
      <rPr>
        <b/>
        <sz val="11"/>
        <color theme="1"/>
        <rFont val="Arial"/>
        <family val="2"/>
      </rPr>
      <t xml:space="preserve">AMPLIACIÓN PUENTE N°9 QUEBRADA SAN GREGORIO . </t>
    </r>
    <r>
      <rPr>
        <b/>
        <sz val="11"/>
        <rFont val="Arial"/>
        <family val="2"/>
      </rPr>
      <t>PK7+960 UF1.</t>
    </r>
    <r>
      <rPr>
        <sz val="11"/>
        <rFont val="Arial"/>
        <family val="2"/>
      </rPr>
      <t xml:space="preserve">  El concesionario inicia actividades el 8 de octubre de 2020.  Este Puente está conformado por 4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retiro del tablero y New Jersey en los Vanos 5, 4 ,3, 2 y 1. Demolición de tablero sobre Vigas vano 1.</t>
    </r>
  </si>
  <si>
    <r>
      <t>Puente PK 5+240 UF 1-  ESTRIBO 1.</t>
    </r>
    <r>
      <rPr>
        <b/>
        <sz val="11"/>
        <rFont val="Calibri"/>
        <family val="2"/>
        <scheme val="minor"/>
      </rPr>
      <t xml:space="preserve"> M</t>
    </r>
    <r>
      <rPr>
        <sz val="11"/>
        <rFont val="Calibri"/>
        <family val="2"/>
        <scheme val="minor"/>
      </rPr>
      <t>uro complementario de Estribo. Costado izquierdo fundido y lleno con material de base.</t>
    </r>
  </si>
  <si>
    <t>Puente PK 5+240 UF 1-  ESTRIBO 1. Muro complementario de Estribo. Costado izquierdo fundido y lleno con material de base.</t>
  </si>
  <si>
    <t>Puente PK 8+705 UF 1- Se funden módulos de New Jersey, ambos costados calzada izquierda.</t>
  </si>
  <si>
    <t>El concesionario en esta semana no realizó actividades en Redes Húmedas en la UF2.1.</t>
  </si>
  <si>
    <r>
      <rPr>
        <b/>
        <sz val="11"/>
        <rFont val="Arial"/>
        <family val="2"/>
      </rPr>
      <t>Ruta 6204 Túnel de Occidente-Medellín.</t>
    </r>
    <r>
      <rPr>
        <sz val="11"/>
        <rFont val="Arial"/>
        <family val="2"/>
      </rPr>
      <t xml:space="preserve">
- Se realiza control vehicular para el paso de sustancias peligrosas para el ingreso al túnel en el portal Santafé y portal Medellín en los horarios establecidos.
- El Concesionario realiza la pintura de las líneas horizontales del Túnel.
- El Peaje de Aburra PR45+200. Se encuentra en Operación Normal.
- Se realiza seguimiento a la zona inestable del PR45+000 y se observa que no presenta movimientos.
- Limpieza de obras de drenaje.
- Actividades de Rocería.
- Grúa y Ambulancia disponibles CCO.
- Actividades Policía de Carreteras PR45+500.</t>
    </r>
  </si>
  <si>
    <t>UF 4 Ruta 6003 - 44+300 CONTROL POLICÍA.</t>
  </si>
  <si>
    <t>comité previa aprobacion</t>
  </si>
  <si>
    <t>C303700071-8477-2314</t>
  </si>
  <si>
    <t>Octubre-2020</t>
  </si>
  <si>
    <t>C303700200-8477-0554</t>
  </si>
  <si>
    <t>RESPUESTA A COMUNICACION EPS4G-0997-20 REFERENTE AL ESTUDIO DE SEGURIDAD VIAL DE LAS ZONAS DE MODIFICACION DE DISEÑO DE LA FRISOLA UF1, REDUCTOR DE SEPARADOR Y GRORIETA</t>
  </si>
  <si>
    <t>D-02-01-20201202-003689</t>
  </si>
  <si>
    <t>ENTREGA DE RFIS 1043 Y 1045 REFERENTE A AJUSTES EN PUENTES DE LA UNIDAD FUNCIONAL 1</t>
  </si>
  <si>
    <t>D-02-01-20201209-003745</t>
  </si>
  <si>
    <t>RESPUESTA AL COMUNICADO EPS4G-1210-20 REFERENTE A LA ENTREGA DEL RFI 486 RESPECTO A LA MODIFICACION DEL DISEÑO DEL TERRAPLEN UBICADO EN EL K10+687 (DOÑA ROSA) DE LA UF1</t>
  </si>
  <si>
    <t>D-02-01-20201209-003746</t>
  </si>
  <si>
    <t xml:space="preserve">Inactivo. Después de aplicada la mezcla asfáltica en caliente, tipo MSC-25, se llevo a cabo la demarcación horizontal con pintura para trafico en color (B/A). También se construyeron tramos de cunetas con sección en L y se colocaron defensas metálicas tipo bionda. El tramo se dio al servicio del transito automotor. Por lo tanto la calzada existente entrara para su intervención con los trabajos de mejoramiento y desmantelamiento de puentes existentes. </t>
  </si>
  <si>
    <t>Acopio, trasiego y  procesamiento del material de descombro traído de los portales del nuevo túnel. Planta Kleemann + Lanza vigas + MSC-25</t>
  </si>
  <si>
    <t>Hay cortes mecánicos con CAT 330 D2L. Se realizo corte y excavación para conformación de la banca (se baja hasta 3 m de profundidad). Ya encontrada la cota de sub rasante se colocaron granulares que formaron el paquete estructural del pavimento flexible. Impermeabilizados estos granulares se extendió la capa asfáltica en caliente MSC-25. Previamente se excavo lateralmente el talud para construir su subdrenaje (geotextil NT + piedra filtro +tubo ranurado en PVC)..  
Se realiza instalación e inyección de pernos (se tiene a la fecha 310 pernos de L= 9 m y 70 drenes en PVC ). Se colocan pernos pasivos de anclaje con malla 3 x 3 m., y L= 9 m.  Se continua  instalación de  malla (15x15x6) en la parte media baja. 
Hacia el PK medio y sobre el talud (intermedio) separador de calzadas, personal se realiza la consolidación con pernos pasivos # 10 colocados @ 1.5 m de distancia y luego la aplicación de concreto lanzado bombeado y transportado en mixer. 
El talud perfilado tendrá 2 fases de corte, con berma intermedia.  
Hacia PK mayor del talud que lleva tres banqueos fue ubicada una CAT en la corona del talud y se le realizo perfilado, remoción y demolición de una cuneta perimetral (recién construida) que sufrió daños y perdida de alineación. En su fase # 1 se instala malla electro soldada (15x15x6mm) y se aplico concreto lanzado (colocado por bombeo en larga distancia). Hay perforadora sobre orugas en la corona de este tramo. Sobre el PK menor (previa demarcación) ya se dio un tramo asfaltado al servicio del transito automotor. Sector ubicado cerca a La Guaracú I.</t>
  </si>
  <si>
    <t>La plataforma de la segunda calzada ya cuenta con la capa intermedia asfáltica tipo MSC-25. Se continua la construcción de una bajante escalonada que recoge y conduce aguas de cunetas lineales de la nueva calzada (se utiliza concreto pre mezclado colocado por gravedad). Personal instalo defensas metálicas tipo bionda. También se colocaron sardineles prefabricados tope llantas. Se siguen construyendo cunetas (con sección triangular o en L con concreto de 21 MPa) y filtros. Para esto se hace uso de pajarita CAT 416F y herramienta menor.</t>
  </si>
  <si>
    <t>a) Inactivo. El talud "rocoso" sobre la vía opuesta a este frente de obra (o PK 19+400 CI), continuara instalación de mallas + cables, y su asegurada con piquetes de acero + platinas / tuercas y algunos anclajes activos compuestos por sartas de 3 torones. El sostenimiento de posibles rocas propensas a caer se previene utilizando la malla + cables de acero + mas puntos de intersección asegurados con platinas y tuercas. Hubo desprendimiento interno de rocas y la malla fue rota y desprendida. Sector Politécnico. 
b) Inactivo. Sobre el costado derecho después de terminar la construcción del muro en HA (de alineamiento curvilíneo y escalonado), se coloco la capa asfáltica en caliente MSC-25 se demarco y se habilito un largo tramo para el transito automotor. Este muro se identifico en campo con el # 168 y no se encuentra relacionado en el Plan de Obras del Concesionario. La obra finalizada se conecto con el estribo # 1 del nuevo puente K 20+680. 
Sobre la calzada opuesta (o existente) se entra al fresado del tablero del puente (con la fresadora SANY C8) para proceder a su desmantelamiento y ampliación. Se levanta una tubería Titan de una ODT x 900 mm. Sector Politécnico</t>
  </si>
  <si>
    <t xml:space="preserve">Excavación mecánica de montaña rocosa </t>
  </si>
  <si>
    <t xml:space="preserve">a) Inactivo. Hacia el PK menor, se realizo el fresado en frio con el equipo Wirtgen W-150, por un extremo de la actual calzada. Se utilizo parte del granular existente y otro granular virgen (BG) se adicionó. Se hizo su imprimación con emulsión asfáltica y se coloco la capa asfáltica en caliente MSC25. Se terminara con la construcción de cunetas en concreto (premezclado de 21 MPa) con sección en L y fundidas en ajedrez.
b) En el tramo medio de este sector se levanto la totalidad de la estructura del pavimento existente (con fresado y excavadora), se levanto la rasante de una curva vertical cóncava y se procedió a la sobre excavación para buscar las cotas de cimentación de un muro curvilíneo en HA o # 042). Se hacen fundidos de concreto de limpieza para armar los aceros de refuerzo de 5 zapatas fundidas individualmente (o por tramos) y con diferente cota de cimentación, lo que equivale a tener cimentación escalonada. Se utiliza grúa dotada con eslinga, excavadora CAT y el colado (de la obra por tramos) se realiza utilizando concreto premezclado de 28 MPa., y colocado por bombeo. A medida que se sube de nivel con los concretos (vástagos) estos se impermeabilizan aplicándose pintura negra bituminosa. Hay trabajos y chequeos topográficos.     
c) Inactivo. Sobre el PK 21+812 se realizo actividad de corte y preparación para prolongación de ODT # 096, se instalan 5 tubos Titán acampanados x 900 mm x 2.5 m, se realizo fundición de su atraque (esta ODT traspasa el muro en TA o K 22+560 CD, hubo necesidad de demoler un muro robusto de concreto existente. Hacia el K 21+860 después de colocados los granulares se precedió a la imprimación con el uso de emulsión asfáltica de curado lento. También se realizo la instalación de la capa intermedia asfáltica tipo MSC-25. Se inicia la construcción de cunetas triangulares por ambos costados de la calzada, previo corte con disco diamantado de la capa asfáltica. También se construye un canal abierto / cerrado tipo cárcamo (60 x 60 cm), y un muro corto para dar acceso a una finca particular. Hay actividades de paisajismo sobre el separador central. Sector Meloneras. </t>
  </si>
  <si>
    <t>a) Inactivo. Termino la protección del talud, previa colocación de pernos pasivos de anclaje (# 10 roscados con L= 6m + drenes en PVC de L= 3m). Se procedió a la colocación y aseguramiento de paneles de malla electrosoldada (15x15x6). Se aplico concreto lanzado con espesor de capa de e= 10 cm y de 21 MPa. Se fundieron dados de concreto y se colocaron las platinas y tuercas de aseguramiento en cada pernos. Hubo aplicación de pintura anti corrosiva.
b) Bulldozer CAT D6T, realiza descapote y retiro de raíces sobre la Bahía del Ahuyamal. Hay corte, acarreo de material de desecho, con maleza y rastrojo (que es llevado para emplearlo en trabajos de paisajismo en las partidas de Sopetrán); y también hay aporte + extendido de material para llenos. Hay vibro Hamm compactando los granulares extendidos para hacerle un saneo a la fundación.
La zona de la calzada antigua, se tiene como centro de acopio de material fresado o RAP. Sector El Ahuyamal.</t>
  </si>
  <si>
    <t>En el patio que funciona como de acopio de materiales (planta de asfaltos), se continua la construcción de un paso inferior para acceder a La Puerta. Se fundieron placas de concreto de solado o concreto de limpieza. Hubo instalación de acero de refuerzo y se fundieron por tramos las primeras placas de contra piso. Colocados los aceros verticales se procede (con ayuda del brazo telescópico de una grúa + eslinga) a colocar la formaletería de un tramo de muro. El galibo horizontal de la obra es de 4 m. La obra la realizara el Concesionario mediante acuerdo con la Comunidad por consulta previa, y por esto no se encuentra con algún avance especifico dentro de su plan de obras. Además será conocido como el puente # 048.</t>
  </si>
  <si>
    <t xml:space="preserve">Finalizo construcción de tramos (en primera etapa) de losa de contrapiso con e= 80 cm. +  muros + placa aérea, ahora se  trabaja en el encole con las aletas y muro en HA de acompañamiento, las formaletas se izaron con grúa dotada de eslinga; hay trabajos topográficos. El concreto pre mezclado utilizado en todos los casos "es bombeado" de 28 MPa. (o 4000 PSI). La obra tendrá un galibo vertical de 5.7 m. Hay retiro de los andamios de carga sobre el tramo que se fundió de la placa aérea. Se impermeabilizan concretos cuyo paramento queda en contacto con tierras (pintura negra bituminosa) y se colocan adicionalmente laminas de geodren planar (como drenaje vertical). Sobre un costado se inician los llenos (por capas) compactados con benitín. La obra presento un periodo de inundación debido a las altas y largas lluvias presentadas en este sector y todavía hay presencia de escombros y barro. Esta obra corresponde al futuro acceso vehicular a la Vda. Guaimaral y la realiza el Concesionario mediante acuerdo con la Comunidad por consulta previa, y por esto no se encuentra con algún avance especifico dentro del plan de obras. Además es conocido como el puente # 045. Los trabajos son intermitentes </t>
  </si>
  <si>
    <t xml:space="preserve">PK 0+060 Playa de peajes. Se realiza el ensamble de los perfiles en acero encima del cuerpo de las garitas. Son perfiles tipo Acesco soldados unos a otros, que harán el cerramiento "superior" sobre las nuevas casetas de cobro. Los muros de concreto (premezclado) son fundidos en forma maciza y con resistencia de 28 MPa.  </t>
  </si>
  <si>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Estribo.Instalación acero de refuerzo y encofrado Dovela sobre Estribo y se funde. Instalación acero de refuerzo y encofrado muro espaldar y aletas y se funden.</t>
    </r>
    <r>
      <rPr>
        <sz val="11"/>
        <color rgb="FFFF0000"/>
        <rFont val="Arial"/>
        <family val="2"/>
      </rPr>
      <t xml:space="preserve"> </t>
    </r>
    <r>
      <rPr>
        <sz val="11"/>
        <rFont val="Arial"/>
        <family val="2"/>
      </rPr>
      <t>Se funde losa de aproximación Estribo 1.</t>
    </r>
    <r>
      <rPr>
        <sz val="11"/>
        <color rgb="FFFF0000"/>
        <rFont val="Arial"/>
        <family val="2"/>
      </rPr>
      <t xml:space="preserve"> </t>
    </r>
    <r>
      <rPr>
        <sz val="11"/>
        <rFont val="Arial"/>
        <family val="2"/>
      </rPr>
      <t>Instalación acero de refuerzo, encofrado y se funde muro complementario en Estribo 1 costafo izquierdo. Se realiza lleno con material granular.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
PILA 2: Se funden caisson 7, 8, 9 y 10. Se adecua área para construcción del Dado, se instala plataforma y acero de refuerzo del dado y se funde. Se funden Columnas A y B hasta el nivel de Dovelas.
ESTRIBO 2: Se funden los núcleos de los Caissos 11 y 12. Se instala acero de refuerzo Viga Cabezal y se funde. Instalación acero de refuerzo y encobrado Dovela sobre Estribo y se funde. Se tensionan los cables.</t>
    </r>
    <r>
      <rPr>
        <sz val="11"/>
        <color rgb="FFFF0000"/>
        <rFont val="Arial"/>
        <family val="2"/>
      </rPr>
      <t xml:space="preserve"> I</t>
    </r>
    <r>
      <rPr>
        <sz val="11"/>
        <rFont val="Arial"/>
        <family val="2"/>
      </rPr>
      <t xml:space="preserve">nstalación acero de refuerzo muro espaldar y ménsula superior Estribo y alets y se funden. Instalación acero de refuerzo losa de aproximación. y se funde.
</t>
    </r>
    <r>
      <rPr>
        <u/>
        <sz val="11"/>
        <rFont val="Arial"/>
        <family val="2"/>
      </rPr>
      <t xml:space="preserve">SUPERESTRUCTURA
</t>
    </r>
    <r>
      <rPr>
        <sz val="11"/>
        <rFont val="Arial"/>
        <family val="2"/>
      </rPr>
      <t xml:space="preserve">PILA 1:  Instalación acero de refuerzo y encofrado Dovela sobre Pila y Dovelas N°1 y se funden. Montaje de carros de avance para construcción de Voladizos 1 y 2. Instalación acero de refuerzo Dovelas N°2 , 3 , 4,  5, 6 ,7, 8 y 9 y se funden, se tensionan cables. </t>
    </r>
    <r>
      <rPr>
        <u/>
        <sz val="11"/>
        <rFont val="Arial"/>
        <family val="2"/>
      </rPr>
      <t xml:space="preserve">
</t>
    </r>
    <r>
      <rPr>
        <sz val="11"/>
        <rFont val="Arial"/>
        <family val="2"/>
      </rPr>
      <t>PILA 2: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en voladizos 3 y 4. Desistalación carros de avance.
Instalación acero de refuerzo y encofrado y se funden defensas tipo New Jersey, costado izquierdo y derecho. Se realizan acabados.</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</si>
  <si>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rFont val="Arial"/>
        <family val="2"/>
      </rPr>
      <t>Montaje de lanza-vigas en el vano 1. Se instalan Vigas prefabricadas sobre apoyos de neopreno, construcción de diafragmas, instalación de pre-losas, acero de refuerzo de las losas y se funden en los vanos 1 , 2 y 3</t>
    </r>
    <r>
      <rPr>
        <sz val="11"/>
        <color rgb="FFFF0000"/>
        <rFont val="Arial"/>
        <family val="2"/>
      </rPr>
      <t xml:space="preserve">. </t>
    </r>
    <r>
      <rPr>
        <sz val="11"/>
        <rFont val="Arial"/>
        <family val="2"/>
      </rPr>
      <t>Instalación de plataforma y acero de refuerzo para construcción de voladizos en vanos 1, 2 y 3. Se funden los voladizos por ambos costados en estos vanos.</t>
    </r>
    <r>
      <rPr>
        <sz val="11"/>
        <color rgb="FFFF0000"/>
        <rFont val="Arial"/>
        <family val="2"/>
      </rPr>
      <t xml:space="preserve"> </t>
    </r>
    <r>
      <rPr>
        <sz val="11"/>
        <rFont val="Arial"/>
        <family val="2"/>
      </rPr>
      <t>Instalación acero de refuerzo y encofrado y se funden defensas tipo New Jersey ambos costados. Se realizan acabados.</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</si>
  <si>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 Se funde losa de aproximación Estribo 1.</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 xml:space="preserve">Instalación acero de refuerzo Viga Cabezal y se funde. Instalación acero de refuerzo y encofrado cuerpo del Estribo, pedestales y topes sísmicos. y se funde. Instalación acero de refuerzo, encofrado y fundida de muro aleta costado izquierdo. Se funde losa de aproximación Estribo 2. </t>
    </r>
    <r>
      <rPr>
        <sz val="11"/>
        <color rgb="FFFF0000"/>
        <rFont val="Arial"/>
        <family val="2"/>
      </rPr>
      <t>Frente Inactivo.</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</si>
  <si>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t>
    </r>
    <r>
      <rPr>
        <sz val="11"/>
        <rFont val="Arial"/>
        <family val="2"/>
      </rPr>
      <t>Instalación acero de refuerzo losa de aproximación y se funde.
Instalación de mortero de nivelación con Sika-Grout sobre pedestales..</t>
    </r>
    <r>
      <rPr>
        <sz val="11"/>
        <color rgb="FFFF0000"/>
        <rFont val="Arial"/>
        <family val="2"/>
      </rPr>
      <t xml:space="preserve">
</t>
    </r>
    <r>
      <rPr>
        <u/>
        <sz val="11"/>
        <rFont val="Arial"/>
        <family val="2"/>
      </rPr>
      <t xml:space="preserve">SUPERESRUCTURA
</t>
    </r>
    <r>
      <rPr>
        <sz val="11"/>
        <rFont val="Arial"/>
        <family val="2"/>
      </rPr>
      <t>Vanos 1, 2, 3 , 4 y 5: Instalación de Vigas prefabricadas sobre apoyos de neopreno, instalación de pre-losas, acero de refuerzo de la losa y diafragmas y se funden. En el vano 6, se instalan vigas prefabricadas sobre apoyos de neopreno, se construye diafragma ,se instalan pre-losas Tipo B y se funde losa. Instalación plataforma y acero de refuerzo voladizos costado derecho e izquierdo vanos 1 , 2 , 3, 4 y 5 y se funden. Instalación acero de refuerzo y encofrado New Jersey  módulos costado derecho e izquierdo y se funden en vanos 1, 2, 3, 4 y 5.Se realizan acabados. Se instalan neoprenos en topes sísmicos.</t>
    </r>
    <r>
      <rPr>
        <sz val="11"/>
        <color rgb="FFFF0000"/>
        <rFont val="Arial"/>
        <family val="2"/>
      </rPr>
      <t xml:space="preserve">
</t>
    </r>
    <r>
      <rPr>
        <sz val="11"/>
        <color theme="1"/>
        <rFont val="Arial"/>
        <family val="2"/>
      </rPr>
      <t xml:space="preserve">
El avance en excavación y construcción de anillos es del 110,2%</t>
    </r>
    <r>
      <rPr>
        <u/>
        <sz val="9"/>
        <color theme="1"/>
        <rFont val="Calibri"/>
        <family val="2"/>
        <scheme val="minor"/>
      </rPr>
      <t/>
    </r>
  </si>
  <si>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t>
    </r>
    <r>
      <rPr>
        <sz val="11"/>
        <color rgb="FFFF0000"/>
        <rFont val="Arial"/>
        <family val="2"/>
      </rPr>
      <t xml:space="preserve"> </t>
    </r>
    <r>
      <rPr>
        <sz val="11"/>
        <rFont val="Arial"/>
        <family val="2"/>
      </rPr>
      <t>ESTRIBO 1 Caissons 1 h=14,0m, Caisson 2 h=14,0m; PILA 1 Caisson 3 h=14m, Caisson 4 h=13,5m; PILA 2 Caisson 5 h=9,37m,  Caisson 6 h=9,8m, ESTRIBO 2 Caisson 7 h=11,3m,  Caisson 8 h=13,11m.  .  El avance en la excavación y fundida de anillos es del 145,7%</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 xml:space="preserve">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ESTRIBO 1: Instalación acero de refuerzo núcleo Caisson 1 y 2 y se funden. Instalación acero de refuerzo y encofrado elevación columnas de Caissons a nivel de Viga Cabezal. y se funden 
</t>
    </r>
    <r>
      <rPr>
        <sz val="11"/>
        <color rgb="FFFF0000"/>
        <rFont val="Arial"/>
        <family val="2"/>
      </rPr>
      <t>PILA 1: Instalación acero de refuerzo núcleo Caisson 3 y 4 y e funden. Instalación acero de refuerzo y encofrado elevación columnas a nivel de Viga cabezal y e funden. Instalación andamio de carga, plataforma, acero de refuerzo Viga Cabezal, topes sísmicos, pedestales y se funde.</t>
    </r>
  </si>
  <si>
    <r>
      <rPr>
        <b/>
        <sz val="11"/>
        <color theme="1"/>
        <rFont val="Arial"/>
        <family val="2"/>
      </rPr>
      <t xml:space="preserve">
PUENTE PK33+100 UF2.1 VIADUCTO SOBRE EL RÍO CAUCA TRAMO 2 VIGAS. 
</t>
    </r>
    <r>
      <rPr>
        <sz val="11"/>
        <color theme="1"/>
        <rFont val="Arial"/>
        <family val="2"/>
      </rPr>
      <t xml:space="preserve">
T</t>
    </r>
    <r>
      <rPr>
        <u/>
        <sz val="11"/>
        <color theme="1"/>
        <rFont val="Arial"/>
        <family val="2"/>
      </rPr>
      <t>RAMO 2.  INFRAESTRUCTURA TERMINADA</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2. SUPERESTRUCTURA
</t>
    </r>
    <r>
      <rPr>
        <sz val="11"/>
        <color rgb="FFFF0000"/>
        <rFont val="Arial"/>
        <family val="2"/>
      </rPr>
      <t>Vano 1: Instalación de cuatro Vigas prefabricadas sobre apoyos de neopreno. Construcción de diafragma e instalación de pre-losas Tipo A y B. Se instala acero de refuerzo losa y se funde.</t>
    </r>
    <r>
      <rPr>
        <u/>
        <sz val="11"/>
        <color theme="1"/>
        <rFont val="Arial"/>
        <family val="2"/>
      </rPr>
      <t xml:space="preserve">
</t>
    </r>
    <r>
      <rPr>
        <sz val="11"/>
        <color rgb="FFFF0000"/>
        <rFont val="Arial"/>
        <family val="2"/>
      </rPr>
      <t xml:space="preserve">Vano 2: Instalación de cuatro Vigas prefabricadas sobre apoyos de neopreno. Construcción de diafragma e instalación de pre-losas Tipo A y B. Se instala acero de refuerzo de la losa y se funde..
Vano 3: Instalación de cuatro Vigas prefabricadas sobre apoyos de neopreno. Construcción de diafragma e instalación de pre-losas Tipo A y B, se instala acero de refuerzo de la losa y se funde.
</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</si>
  <si>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 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t>
    </r>
    <r>
      <rPr>
        <sz val="11"/>
        <color theme="1"/>
        <rFont val="Arial"/>
        <family val="2"/>
      </rPr>
      <t xml:space="preserve">
Se construye losa en concreto reforzado para la unión entre los puentes PK8+705 y PK8+800.
</t>
    </r>
    <r>
      <rPr>
        <u/>
        <sz val="11"/>
        <color theme="1"/>
        <rFont val="Arial"/>
        <family val="2"/>
      </rPr>
      <t xml:space="preserve">SUPERESTRUCTURA
</t>
    </r>
    <r>
      <rPr>
        <sz val="11"/>
        <rFont val="Arial"/>
        <family val="2"/>
      </rPr>
      <t>Instalación de mortero de nivelación con Sika Grout sobre pedestales. Montaje del equipo lanza-vigas.
VANO 1 y 2: Instalación de Vigas prefabricadas sobre apoyos de neopreno, construcción de diafragmas, instalación de pre-losas , instalación acero de refuerzo  losas y se funden para ambas calzadas</t>
    </r>
    <r>
      <rPr>
        <sz val="11"/>
        <color rgb="FFFF0000"/>
        <rFont val="Arial"/>
        <family val="2"/>
      </rPr>
      <t>.</t>
    </r>
    <r>
      <rPr>
        <sz val="11"/>
        <rFont val="Arial"/>
        <family val="2"/>
      </rPr>
      <t xml:space="preserve"> Instalación plataforma y acero de refuerzo voladizo costado derecho e izquierdo calzadas izquierda y derecha y se funden</t>
    </r>
    <r>
      <rPr>
        <sz val="11"/>
        <color rgb="FFFF0000"/>
        <rFont val="Arial"/>
        <family val="2"/>
      </rPr>
      <t>.</t>
    </r>
    <r>
      <rPr>
        <sz val="11"/>
        <rFont val="Arial"/>
        <family val="2"/>
      </rPr>
      <t xml:space="preserve"> Instalación acero de refuerzo y encofrado defensas tipo New Jersey y se funden en calzada izquierda y derecha. Se realizan acabados.</t>
    </r>
  </si>
  <si>
    <t>Ampliación Puente 25  El Sable UF2.1</t>
  </si>
  <si>
    <r>
      <rPr>
        <b/>
        <sz val="11"/>
        <color theme="1"/>
        <rFont val="Arial"/>
        <family val="2"/>
      </rPr>
      <t xml:space="preserve">AMPLIACIÓN PUENTE N°25 QUEBRADA EL SABLE . </t>
    </r>
    <r>
      <rPr>
        <b/>
        <sz val="11"/>
        <rFont val="Arial"/>
        <family val="2"/>
      </rPr>
      <t>PK19+420 UF1.</t>
    </r>
    <r>
      <rPr>
        <sz val="11"/>
        <rFont val="Arial"/>
        <family val="2"/>
      </rPr>
      <t xml:space="preserve">  El concesionario inicia actividades el 4 de diciembre de 2020.  Este Puente está conformado por 2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 xml:space="preserve">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1,y 2. </t>
    </r>
  </si>
  <si>
    <r>
      <rPr>
        <b/>
        <sz val="11"/>
        <color theme="1"/>
        <rFont val="Arial"/>
        <family val="2"/>
      </rPr>
      <t>AMPLIACIÓN PUENTE N°1 QUEBRADA LA NEGRA . PK0+110 UF1.</t>
    </r>
    <r>
      <rPr>
        <sz val="11"/>
        <color theme="1"/>
        <rFont val="Arial"/>
        <family val="2"/>
      </rPr>
      <t xml:space="preserve">  El concesionario inicia actividades el 21 de julio de 2020.  Este Puente está conformado por 4 luces en Vigas postensadas para una luz total de 105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rFont val="Arial"/>
        <family val="2"/>
      </rPr>
      <t>Se realizan perforaciones a la losa existente con saca núcleos y cortes en la losa de aproximadamente 1,80X3,50 m  para retiro del tablero y los New Jersey existentente. En el vano entre ejes 4 y 5  se retiran las Vigas existentes para remplazarlas . Estas vigas se encuentran reparadas con fibra de carbono y con deformaciones permanentes, producto de un desplazamiento que sufrió el  Estribo eje 5 y fué intervenido por Inteisa S.A. En el Estribo eje 5  se remplazarán elementos como la Viga cabezal, pantalla y talón que se apoyará sobre  pilas existentes construidas po Inteisa en el año 2013</t>
    </r>
    <r>
      <rPr>
        <sz val="11"/>
        <color rgb="FFFF0000"/>
        <rFont val="Arial"/>
        <family val="2"/>
      </rPr>
      <t xml:space="preserve">. </t>
    </r>
    <r>
      <rPr>
        <sz val="11"/>
        <rFont val="Arial"/>
        <family val="2"/>
      </rPr>
      <t>Se realiza la demolición del Estribo y el retiro de las vigas existentes. Se realizan cortes de tablero vanos 2 y  3,  se retira tablero y New Jersey existenrtes. Se instala plataforma para construcción de voladizos, Stell Deck para losa y acero de refuerzo vano 3 y se funde.. Instalación acero de refuerzo y encofrado Viga Cabezal, cuerpo del Estribo, topes si´smicos y pedestales en el Estribo 2 y se funde sobre pilas existentes. Se instalan cuatro (4) vigas prefabricadas postensadas sobre apoyos de neopreno en el Vano 4, se construyen Diafragmas, se instala metal deck,  plataforma para voladizo, acero de refuerzo de la losa  y se funde  Vano 4. Para el Vano 1, se realiza corte y retiro de la losa existente, instalación de plataforma para voladizos, Steel Deck y acero de refuerzo de la losa y se funde. En el Vano 2 se realizan cortes para retiro del tablero, se retira tablero y New Jersey. Se instala plataforma para voladizos, metal deck, acero de refuerzo de la losa y se funde</t>
    </r>
    <r>
      <rPr>
        <sz val="11"/>
        <color rgb="FFFF0000"/>
        <rFont val="Arial"/>
        <family val="2"/>
      </rPr>
      <t>. Perforaciones e instalación de platinas 5/8", pernnos, parales IPE-220, tubo D=4" baranda vehicular ambos costados. Aplicación de base anticorrociva y pintura epóxica en baranda costado izquierdo. Se realizan perforaciones e instalación de platinas y desviadores para reforzamiento de Vigas  en Vano 1  Vigas 1 y 4,  Vano 2  Viga 8, Vano 3 Viga 12. Se instalan cables y se tensionan.
Se instala carpeta asfáltica de rodadura.</t>
    </r>
  </si>
  <si>
    <t>Puente PK 8+705 UF 1-  Módulos de New Jersey,  calzada izquierda terminados.</t>
  </si>
  <si>
    <r>
      <rPr>
        <b/>
        <sz val="12"/>
        <rFont val="Arial"/>
        <family val="2"/>
      </rPr>
      <t>Portal Medellín - Segundo Tubo Túnel Occidente</t>
    </r>
    <r>
      <rPr>
        <sz val="12"/>
        <rFont val="Arial"/>
        <family val="2"/>
      </rPr>
      <t xml:space="preserve">
Actividades de Instalación del revestimiento e  instalación de drenaje  de Dint= 14", con tubería perforada Novafort, en túnel principal. Portal Medellín.
</t>
    </r>
  </si>
  <si>
    <r>
      <t xml:space="preserve">Galerías de conexión peatonal y vehicular - segundo tubo Túnel Occidente
</t>
    </r>
    <r>
      <rPr>
        <sz val="12"/>
        <rFont val="Arial"/>
        <family val="2"/>
      </rPr>
      <t>Actividades de excavación por medio de perforación y voladura, desde el túnel nuevo, en la Galería de Conexión Vehicular No 1 y Galerías de conexión Pet}atonal Nos 1 y  6.</t>
    </r>
  </si>
  <si>
    <r>
      <rPr>
        <b/>
        <sz val="12"/>
        <rFont val="Arial"/>
        <family val="2"/>
      </rPr>
      <t>Portal Santa Fe - Segundo Tubo Túnel de Occidente</t>
    </r>
    <r>
      <rPr>
        <sz val="12"/>
        <rFont val="Arial"/>
        <family val="2"/>
      </rPr>
      <t xml:space="preserve">
Actividades de Instalación del revestimiento, Instalación de drenaje Dint=14", e instalación tramo de prueba de tuberías redes eléctricas MT y telecomunicaciones. Portal Santa Fe.
</t>
    </r>
  </si>
  <si>
    <t xml:space="preserve">  PK0+825 - PK0+850 - UF3.1D - Construcción de contraboveda. Portal Medellín.</t>
  </si>
  <si>
    <t xml:space="preserve">  PK1+110- UF3.1D - Instalación de 20 cm  de concreto de revestimiento 25 Mpa para revestimiento, sección sostenimiento tipo SC-1. Portal Medellín.</t>
  </si>
  <si>
    <t>PK0+804 - PK0+850 - UF3.1D - Construcción de contraboveda. Portal Medellín.</t>
  </si>
  <si>
    <t xml:space="preserve"> PK0+804 - PK0+850 - UF3.1D - Concreto hidráulico de f´c= 25 MPa, instalado, en contraboveda. Portal Medellín.</t>
  </si>
  <si>
    <t xml:space="preserve"> PK2+720 - UF3.1D - Construcción de dren colector de Dint = 14". Portal Medellín (hastial derecho).</t>
  </si>
  <si>
    <t xml:space="preserve">  PK2+760 - UF3.1D - Construcción de dren colector de Dint = 14". Portal Medellín (hastial izquierdo).</t>
  </si>
  <si>
    <t xml:space="preserve"> PK4+545 - UF3.1D - Construcción de dren colector de Dint = 14". Portal Santa Fe (hastial Izquierdo).</t>
  </si>
  <si>
    <t>El concesionario en esta semana no realizó actividades en Redes Secas en la UF2.1.</t>
  </si>
  <si>
    <t>Seguimiento a las PQRS del proyecto.</t>
  </si>
  <si>
    <t>Intereses Aporte 41</t>
  </si>
  <si>
    <t>C303700071-8477-2315</t>
  </si>
  <si>
    <t>Cumplió aporte del mes de Diciembre 2020</t>
  </si>
  <si>
    <t>nov-20</t>
  </si>
  <si>
    <t>Aporte de Diembre 31 -2020</t>
  </si>
  <si>
    <t>Giro 42</t>
  </si>
  <si>
    <t>C303700071-8477-2316</t>
  </si>
  <si>
    <t>Cumplio con aporte de noviembre 2020 de forma retrasada, ver intereses aporte 41</t>
  </si>
  <si>
    <t>Aporte de Noviembre 30 -2020</t>
  </si>
  <si>
    <t>Giro 41</t>
  </si>
  <si>
    <t>RESPUESTA A COMUNICACIÓN EPS4G-1314-20 REFERENTE A LA ENTREGA DE LA MODIFICACION DE UBICACIÓN DE AREAS DE SERVICIOS Y ZONAS DE PEAJES DE LA UF2,1</t>
  </si>
  <si>
    <t>D-02-01-20201221-003896</t>
  </si>
  <si>
    <t xml:space="preserve">ENTREGA No. 19 DE SOLICITUDES DE INFORMACION DE ESPECIFICACIONES A ESTRUCTURAS RFI </t>
  </si>
  <si>
    <t>D-02-01-20201221003889</t>
  </si>
  <si>
    <t>RESPUESTA A COMUNICACIÓN EPS4G-1314-20 REFERENTE A LA ENTREGA DEL DISEÑO ESTRUCTURAL PARA LA AMPLIACION DEL PUENTE 025 - EL SABLE - K19+420 DE LA UNIDAD FUNCIONAL 2,1</t>
  </si>
  <si>
    <t>D-02-01-20201221003888</t>
  </si>
  <si>
    <t>RESPUESTA A COMUNICACIÓN EPS4G-1102-20 REFERENTE A LA REVISION DEL PUENTE K8+800 DE LA UF1 - EXISTE RESPUESTA ESTRUCTURA D002948</t>
  </si>
  <si>
    <t>D-02-01-20201221003887</t>
  </si>
  <si>
    <t>ENTTEGA DE DISEÑO ESTRUCTURAL DE LAS ODTS 163 K31+709 DE LA UNIDAD FUNCIONAL 2,1</t>
  </si>
  <si>
    <t>D-02-01-20201221-003884</t>
  </si>
  <si>
    <t xml:space="preserve">Se sigue acopiando material de rezaga o descombro del nuevo túnel, del Portal Santafé. Este material se extrae (del nuevo túnel con vehículos dumper), para luego ser llevado a la planta de trituración del PK 11+700. Las cantidades disminuirán debido a que el túnel ya logro el cale.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para acceder a la Vda. La Frisola. Sobre el PK 0+050 CD, del tablero del puente en ampliación sobre la Qda. La Negra, se le instalo mezcla en caliente tipo MDC-10, y se habilito el transito automotor, en ambos sentidos sobre esta obra ampliada. </t>
  </si>
  <si>
    <t xml:space="preserve">Desde la planta de concretos hacia mayores, ya cuenta con la capa asfáltica en caliente tipo MSC-25.  Pero el transito (vehicular / particular) y exclusivo hacia el corregimiento de Palmitas, se controla por esta vía en intervención. Hay construcción de cunetas en concreto. Todo el transito particular circula por la nueva calzada. </t>
  </si>
  <si>
    <t>Terminado el fresado y la colocación de granulares combinados con RAP, se procedió a extender y colocar finalmente la capa asfáltica en caliente tipo MSC-25. El RAP sobrante se llevo al acopio del PK 0+400 CI. Se hace un muro bandeja de contención anexo al estribo #1 (del puente curvo existente) para apoyar un tramo del tablero del puente "en ampliación" y facilitar en forma mas amplia el acceso a la Inspección de Palmitas.
Todo el transito vehicular circula por la nueva calzada.</t>
  </si>
  <si>
    <t xml:space="preserve">El tramo estuvo siendo intervenido con fresados en frio. Se utilizo material de sub base mezclado con el fresado o RAP, en proporción 4:1 para formar la estructura granular del pavimento flexible. Luego de terminada la intervención con el desmantelamiento y la ampliación de los puentes existentes, se procedió a la colocación y extensión de la mezcla asfáltica en caliente tipo MSC-25, para ello se utilizo el tren de pavimentación Dynapac. Sector Qda. La Cola. Todo el transito particular circula por la nueva calzada (o CI).  </t>
  </si>
  <si>
    <t xml:space="preserve">Inactivo. En tramo fue intervenido con fresados. Algunos tramos implico adición y cambio de granulares (en todo o parte del ancho de calzada). Se aplico la mezcla asfáltica en caliente tipo MSC-25. Ahora el tramo se sigue interviniendo con el desmantelamiento y la ampliación de los puentes existentes. Todo el transito automotor circula por la nueva calzada, tramo que fue demarcado con señalización horizontal para evitar accidentes en adelantamientos vehiculares. Sector frente a trapiche. </t>
  </si>
  <si>
    <t xml:space="preserve">a) En tramo fue intervenido con fresados. Algunos tramos implico adición y cambio de granulares (en todo o parte del ancho de calzada). Se aplico la mezcla asfáltica en caliente tipo MSC-25. Se continuara actividad de construcción de cunetas con sección V y con sección en L sobre el PK 3+700. Se seguirá construyendo un canal abierto tipo cárcamo con bordillos discontinuos para captación de aguas "por bombeo" de la nueva calzada y recibir aguas de ODT. Se utilizo concreto premezclado de 21 MPa, transportado en mixer. Hubo traslado de los tableros que se le retiraron a los puentes existentes ampliados. 
b) Inactivo. Realizado el fresado y excavación en busca de fallos, blandones y humedades se realizo la instalación de  base granular e  imprimación de granulares con emulsión de rompimiento lento y posterior instalación de mezcla asfáltica tipo MSC-25. Se acondiciono cuneta en V para acceder a negocio particular. Sector intervenido frente al Trapiche comunitario y Rancho Alegre.  </t>
  </si>
  <si>
    <t xml:space="preserve">La plataforma de la segunda calzada cuenta ya con su capa intermedia asfáltica tipo MSC-25. Se le hizo al tramo la demarcación horizontal (con líneas B/A). Hubo necesidad de construir un muro de 2 tramos (4+6m) para proteger el estribo # 1 de puente de La Potrera. Este tramo se habilito finalmente para la circulación de todo el transito automotor y se libera la calzada existente para los trabajos de mejoramiento y desmantelamiento de puentes existentes y su ampliación. </t>
  </si>
  <si>
    <t>Se continua actividad de corte mecánico mediante el uso de una excavadora CAT 320 D2 incluye retiro de material. Se realizo la instalación de malla electro soldada y concreto lanzado sobre el talud destapado y cortado, para evitar derrumbamientos o desprendimientos. Se demolieron 2 muros existentes. Hacia el PK mayor se llevo a cabo instalación de acero y encofrado para zapatas de los módulos # 29 + 30 +31 y se encofran para hacer los vástagos. Se funden solados para los muros # 26 + 27 + 28. Hay construidos 11 caissons c/u con sus anillos a profundidades variables entre 8 y 11 m. Hay estacas que marcan cortes o excavación desde 5.2 m a 8 m. Sobre la calzada izquierda (o nueva calzada) se habilito el tramo para el transito automotor, previa demarcación y señalización con balizas y maletines.</t>
  </si>
  <si>
    <t>Tramo señalizado con balizas o maletines + señalización horizontal. Se maneja como una intersección provisional  para entrar / salir al Municipio de Ebéjico. Hacia PK mayor o K 6+150 se realizo marcación para dar inicio a perforación de pernos de L= 6 m en 3x3 y lagrimales de L= 1 m en  malla 6x6</t>
  </si>
  <si>
    <t>Se continuara corte mecánico de material derrumbado (CAT 320 D2), se realiza corte para acceder a espacios de entrada y en el acceso al nuevo puente que ahora será de doble calzada. (hacia el aproche del estribo # 2). También se seguirá transportando con equipo sobre orugas, materiales y equipos (ej. malla 15x15x6) hacia la parte alta del corte. Sobre la corona del talud, se realiza corte y estabilización en dos tramos o etapas para la primera fase de talud. Se instalaron paneles de malla electrosoldada y se aplica concreto lanzado en talud y en berma. Material cortado se lleva al lleno del PK 11+800 o al frente Doña Rosa.  Algunas lluvias siguen afectando los trabajos de corte mecánico y acarreos. Sector de La Rochela.</t>
  </si>
  <si>
    <t>a) Sobre el perfilado del talud se continuara realizando la consolidación del talud (en su segunda fase) con la colocación de pernos pasivos de anclaje (con varillas corrugadas # 10 y de Fy= 60 000 psi. y de L= 12 m) en una grid de 3 x 3 m. Después el cubrimiento y protección se hará con malla de acero electrosoldada (15x15x6)  y concreto lanzado (e= 10 cm) de 28 MPa. Para la mayoría de los trabajos, se utiliza personal y equipo suspendido.
b) Inactivo. Para la vía de acceso a la Vda. Mestizal alto, se continuara la construcción de algunos drenajes pendientes. Sobre el costado izq., se fundió en concreto un disipador longitudinal (o corta aguas) anexo al pavimento rígido. Hubo fundida de bordillos discontinuos en concreto (0.15x0.15x1.8 m). Algunas lluvias afectan trabajos y las zonas de talud no recubiertas o protegidas con geosinteticos y por lo tanto se le forman surcos y cárcavas.
c) Sobre la calzada existente, se continuara el corte mecánico (con CAT 330 D2L), a fin de bajar la montaña y unir las rasantes de dos (2) puentes consecutivos en construcción. Sigue pendiente traslado de redes secas. Se trabaja con personal PARE / SIGA</t>
  </si>
  <si>
    <t xml:space="preserve">Inactivo. Continuaran trabajos con corte de montaña en el sector de Piedra Negra, con el uso de explosivos químicos controlados. Personal removió material rocoso suelto. </t>
  </si>
  <si>
    <t>Inactivo. Sobre la pata del talud se realizo construcción de escollera utilizando grandes rocas + concreto hidráulico. Se termino la construcción de colchón filtrante sobre escollera  (de 5 m x L= 50 m) con geotextil NT-2500 Pavco y tubo de drenaje ranurado y continua instalación de material seleccionado en la capa # 5. Todo el polígono del talud se cubre con geotextil. Se coloca, extiende y compacta las primeras capas de material de llenos traído de la Rochela. Se trabaja con bulldozer CAT D6T y vibro Hamm. Excavadora CAT 320 D2, realiza colocación de rocas de gran tamaño en la zona mas baja del terraplén como estilo enrocado o muro escollera. 
Anexo a esta obra, se realizan trabajos de excavación para la construcción de caissons del nuevo puente vehicular. Sector de Doña Rosa.</t>
  </si>
  <si>
    <t>a) Corresponde a la planta de trituración (Kleemann) que estaba instalada en La Volcana. Este material se procesa se tritura y se acopia para obtener: piedra filtro, sub base granular, base granular, materiales selectos y clasificados y/o materiales estabilizados para llenos. Encontramos allí, trituradora, excavadoras, bulldozer D6T, cargador CAT articulado y volquetas.  
b) Se realizo actividad de retiro material granular con CAT 140M, corte y retiro de ultima fila de bandas y luego se realiza cereo y liberación para hacer la imprimación de granulares y finalmente se coloco la capa asfáltica. Así, se da inicio a la conformación de la calzada en construcción y el acceso al puente PK 11+110 de asados Doña Rosan, el muro en TA o # 036 y el retorno #1. Se inicio el armado de la Lanzavigas (entrando por el estribo #2) y los espacios o áreas son ahora ocupados(as) para el acopio de vigas pretensadas, los equipos de carga / transporte y por grandes grúas.</t>
  </si>
  <si>
    <t>a) Inactivo. Continuara actividad de peinado mecánico (con CAT 330 D2L) sobre la pata del talud para terminar pronto su revestido con malla electrosoldada. Se termino de confinar (con pernos roscados # 10 + drenes en PVC + malla electrosoldada + concreto lanzado), la segunda fase del talud ya perfilado ya que en su corona (primera fase) se presenta un agrietamiento superficial (en estado estable). La tercera fase ya se tienen colocados paneles de malla electrosoldada y pernos. Hacia el PK mayor (talud de interacción con las construcciones particulares de La Hostería) se hacen perforaciones para colocar pernos de anclaje + drenes en PVC (se utiliza equipo autopropulsado sobre orugas); hay trabajos de inyección de pernos con el uso de morteros de cemento. Un tramo final del talud de corte, se cubre utilizando plásticos a fin de proteger los suelos de una sobre saturación debido a las lluvias. La firma consultora Consulcivil SAS realiza un sondeo profundo. Hay presencia de aguas infiltradas.   
Sobre la segunda berma de cortante, se emplazo la entrada al negocio particular de Las Grutas y se le extiendo y compacto material de fresado o RAP. Se inicia la construcción de la cuenta de borde que tendrá una sección en V. En la parte central (que vendría a ser la tercera berma) se excavo la plataforma vial encajonada donde se emplaza la nueva calzada, hay colocación de piedra rajón para mejorar la cimentación de la estructura del pavimento flexible. Las rasantes de esta la vía nueva con el tramo del PK 13 no se han unido. La cara destapada de la corona sufrió una nueva descompresión y por lo tanto se peina y se rebaja la pendiente para colocar paneles de malla electrosoldada y luego se le aplicara concreto lanzado. Hay permanentes trabajos topográficos. Algunas lluvias siguen retrasando los trabajos de corte y acarreo. Para acceder o dejar el frente de obra en conexión con la actual calzada, se trabaja con personal PARE / SIGA, sector Hostería Las Grutas.
b) Inactivo. Sobre el box del PK 12+764 se termino la construcción del segundo y ultimo tramo de box gemelo. Para concluir con la obra, se hizo la demolición de un pontón existente a fin de alargar "aguas arriba", el par de box en construcción. Se termina con la fundida de las aletas del descole, su impermeabilización se hace aplicando pintura negra pintura bituminosa (a los paramentos de concreto en contacto directo con tierras) y la construcción de los sub drenajes laterales (con piedra filtro + geotextil + tubo ranurado). Para todo el cuerpo del box, se utilizo concreto premezclado y bombeado de 28 MPa. La obra es de L = 21 m. de largo. Las aguas de la Qda. (San Juana II), ya circulan libremente por ambas secciones del box. Esta pendiente la colocación de llenos y terminar su impermeabilización. Sector Hostería Las Grutas.</t>
  </si>
  <si>
    <t xml:space="preserve">a) Inactivo. Se conformo el paquete estructural y granular del pavimento flexible. Posteriormente se coloco la capa intermedia de mezcla asfáltica, utilizando el tren de pavimentación Dynapac. El tramo hacia PK mayor ya cuenta con la demarcación horizontal, y pronto se habilitara para el transito vehicular. 
b) Sobre la calzada opuesta (o PK 13+400 CI), se realizo la construcción de la ODT # 169 x 1500 mm. Se le hizo el buzón intermedio. Conformado el paquete granular y estructural del pavimento flexible, se le realizo su imprimación y se coloco finalmente la capa asfáltica MSC-25. Hay excavaciones mecánicas y adecuación del piso (se usa rana para compactación) para la construcción de cunetas en concreto. Hay chequeos topográficos. Sector frente a La Jungla y que se unirá con su tramo inmediato y antecesor de Las Grutas.  </t>
  </si>
  <si>
    <t xml:space="preserve">El tramo cuenta con la capa intermedia de mezcla asfáltica tipo MSC-25. Se hizo la demarcación horizontal, utilizando pintura para trafico (B/A) a base de agua. También se instalaron defensas metálicas tipo bionda. Se habilito el tramo para el paso del transito automotor y poder libertar y entrar a rehabilitar la calzada existente. Sobre el costado opuesto (o vía existente o PK 14+100 CI) se inicia el fresado en frio con el equipo SANY C8, hay levantamiento, total y parcial de la carpeta asfáltica y también hay cajeos, según la gravedad o intensidad de daños, grietas o fisuración. Sector abajo de la Jungla. </t>
  </si>
  <si>
    <t>Inactivo. Sobre el talud perfilado se termino la aplicación de concreto lanzado (con e= 10 cm) previa colocación y aseguramiento de paneles de malla electro soldada (15x15x6). Se termino la colocación de pernos pasivos de anclaje (con barras corrugadas autoperforantes) de L = 6 m. También hubo perforación para la colocación de drenes sub horizontales en PVC. La plataforma vial ya cuenta ya cuenta con la capa asfáltica, MSC-25. Se siguen construyen cunetas utilizando concreto premezclado de 21 MPa y sub drenajes (piedra filtro + geotextil NT+ tubería ranurada). Parte del tramo se encuentra con demarcación horizontal, líneas B/A.
Este frente de obra corresponde al Sector Tamarindos / Comfenalco, donde los trabajos en taludes y calzada ya se unieron con el tramo siguiente de la carpintería / polvorería. Hay parqueo de equipos de construcción y materiales acopiados. El transito automotor sigue habilitado por la cazada opuesta o vía existente.</t>
  </si>
  <si>
    <t>a) Inactivo. Sobre la obra y tramos anexos, se conformo el paquete estructural del pavimento flexible. Colocados y compactados los granulares se procedió a la imprimación utilizando emulsión asfáltica de curado lento. Posteriormente se coloco la capa intermedia de mezcla asfáltica, utilizando el tren de pavimentación Dynapac. Hubo construcción de vía veredal. El tramo cuenta con la demarcación horizontal y se habilito para el transito vehicular. También se instalaron defensas metálicas tipo bionda. 
b) Inactivo. Sobre la calzada opuesta (o PK 14+000 CI) se termino la fase de consolidación y protección del talud (a una pendiente) se coloco malla electrosoldada con perforación para pernos y drenes en PVC. También hubo aplicación de concreto lanzado. Ahora se construyen subdrenaje laterales (geotextil NT + piedra filtro + tubo ranurado) y cunetas laterales en con sección en L utilizando concreto premezclado de 21 MPa. Sobre esta calzada hay todavía estacionados equipos de construcción y acopio de materiales. Hay trabajos topográficos.  El transito automotor circula por la calzada opuesta. Sector La Bloquera.</t>
  </si>
  <si>
    <t>a) Inactivo. Colocados los llenos (sobre la ODT y tramos anexos), con material seleccionado se extendió la capa intermedia de mezcla asfáltica tipo MCS-25.  
Posteriormente se realizo la demarcación con utilización de pintura a base de agua para trafico en color B/A. Hoy se transita por esta nueva calzada y se abandona la existente que esta siendo intervenida. 
b) Inactivo. Sobre la calzada opuesta (o PK 15+400 CI) se termino el perfilado del talud con el tendido a una pendiente. Se termino de colocar la capa asfáltica tipo MSC-25. Se instalaron redes ITS excavando manualmente por el talud de corte y también se instalan defensas metálicas. Se realizo la demarcación horizontal utilizando pintura para trafico B/A. Finalmente se siguen construyendo cunetas laterales en concreto con sección en L y por el sistema de ajedrezado (se utilizara concreto premezclado de 21 MPa).  El transito automotor circula por la nueva calzada derecha. Sector Carpintería / Polvorería.</t>
  </si>
  <si>
    <t xml:space="preserve">La plataforma de la segunda calzada ya cuenta con la capa intermedia asfáltica tipo MSC-25, frente al conjunto residencial Palmeras 2 y diagonal a Palmeras 1. Se realiza la construcción de cunetas en L en concreto y de un disipador en concreto con dirección hacia la pata del talud del terraplén. El concreto utilizado es premezclado (21 MPa) colocado por gravedad mediante canales en PVC. Hacia el PK menor se instalaron defensas metálicas tipo bionda. Ahora se seguirá removiendo un morro terreo, ubicado sobre el separador de calzadas a fin de mejorar la visibilidad entre ellas.    
Este frente de obra es zona limite entre la UF-1.0 y UF-2.1 y se encuentra ubicado en la zona urbana de San Jerónimo. </t>
  </si>
  <si>
    <t>Nota Gral.</t>
  </si>
  <si>
    <t xml:space="preserve">Por vacaciones colectivas o permisos dados al personal por parte del Concesionario (temporada de navidad / año nuevo), algunos de los frentes de obra, se encuentran inactivos o con personal disminuido. </t>
  </si>
  <si>
    <t>La obra finalizada hizo conexión (en escuadra) sobre las bases del estribo # 2 del puente K 4+500. Es un muro de 119 m de largo con varios niveles de cimentación debido a la topografía del lugar. El polígono formado por el talud de corte y que sostiene la actual vía (con concreto lanzado) se cubrió con laminas de geodren planar a medida que se subieron con los niveles de llenos. Ahora personal realizara trabajos de adecuación de cuneta perimetral (con prefabricados trapezoidales) sobre el intradós del muro. Se continua con la construcción de una viga de realce a todo lo largo del muro y apoyada sobre el borde de las escamas prefabricadas (ancho 2.0 x h= 0.5 y tramos de 2.9 m.). Hacia PK menor hay un PARE / SIGA, porque todos los vehículos circulan por un solo carril y sobre la calzada existente.</t>
  </si>
  <si>
    <t>Terminado el perfilado del talud a una pendiente se procedió a intervenir su plataforma vial, construyendo el filtro lateral (con piedra filtro + geotextil + tubo ranurado). La temporada invernal afecta el estado y comportamiento del frente de obra a pesar de haberle construido su cuneta de corona. Se tiene colocada una capa provisional de agregados clasificados. Terminados los trabajos ejecutados con la lanzavigas (sobre la Qda. o puente La Muñoz I), esta se desarma para llevarla a otro frente de trabajo. Se dejan materiales ocupando algunos espacios, y se precede a retirar equipos de construcción y grúas de gran tamaño.</t>
  </si>
  <si>
    <t>La canalización de las aguas de la Qda. La Muñoz I, fue terminada con la construcción del box. Este se construyo con un total de 5 módulos y sus dimensiones finales son:  L = 90 m x H = 5.5 m "gálibo" x Ancho = 6. 0 m. Se le realizo la construcción de las aletas y el descole. Se llevaron a cabo los llenos para ambos costados (con bulldozer, con motoniveladora CAT 140 K y con dos vibros Hamm). También se hizo la rampa con llenos sobre el estribo # 2 (y se funde su placa de aproximación en concreto reforzado). Colocados granulares e imprimados con emulsión asfáltica de curado lento se extendió la capa asfáltica en caliente MSC-525 (se utilizo el tren de pavimentación Dynapac). En este frente de obra se trabaja con todo tipo de maquinaria pesada, como bulldozer, excavadoras, retro excavadoras, grúas, vibros para afirmados, volquetas y bobcat.  Para entrar a intervenir una amplia zona en superficie (orejas del retorno) hubo cambios y modificaciones del acceso vehicular hacia San Jerónimo; por lo tanto sobre la actual vía, se realizo demarcación horizontal utilizando pintura (B/A) y poder canalizar el transito automotor que entra y sale del Municipio.</t>
  </si>
  <si>
    <t>Inactivo. Sobre un largo tramo se adiciono material rajón a fin de mejorar la cimentación de la plataforma vial (saneo de subrasante). Motoniveladora CAT realiza el extendido de material granular seleccionado, hay vibro Hamm en las tareas de compactación. El trabajo hará parte del acceso al nuevo puente sobre la Guaracú II (estribo # 1) y del acceso inferior a conjunto residencial. 
También se realizo actividad de excavación para terminar la construcción del sub dren lateral y la instalación subterránea de redes ITS, se utiliza pajarita CAT 416 F. Sobre el costado opuesto se inicia la construcción de cunetas en concreto con sección en L y colado en forma ajedrezada. Hay que hacer cortes de la capa asfáltica con disco diamantado. Hay espacios que se ocupan para acopio de material y estacionamiento de equipos. Sector urbano de San Jerónimo, frente al conjunto residencial Paraíso del Sol. El transito automotor circula por la vía existente</t>
  </si>
  <si>
    <t>Se terminaron los fresados en frio con equipo SANY C8. Se fresaron tramos completos de la calzada existente que tiene un espesor promedio de 16 cm. Sobre la corona de la curva vertical convexa se levantaron granulares (con CAT sobre orugas) a fin de bajar (por lo menos en 3 m.) la cota y modificar el PIV de la curva vertical. Por lo tanto las rasantes de ambas vías se irán a igualar en un largo trayecto. El RAP o material de fresado se lleva hacia el acopio del Ahuyamal para ser utilizado después combinado con agregado virgen para ser utilizado como subbase.  Se inicia la colocación de granulares con motoniveladora CAT 140K y vibro Hamm. Frente de obra ubicada en el sector de Loma Hermosa / El Francés. El transito automotor circula por la nueva calzada.</t>
  </si>
  <si>
    <t>Con el uso de tres excavadoras CAT (pluma + cucharon y plumas + martillos) se continua la excavación de una montaña con formación rocosa, cuyo material se lleva en volquetas al box en la zona urbana de San Jerónimo, al Ahuyamal y a otros puntos de acopio y procesamiento. Los cortes avanzan en contorno y hacia el costado del Rio Aurrá. La finalidad del trabajo, es cortar y unir las rasantes de dos puentes en construcción. Hacia el PK menor, se inicia la construcción de un muro (# 172) en HA, que será de acompañamiento sobre el estribo # 2 del nuevo puente o K 21+500. Se trabaja con personal PARE / SIGA</t>
  </si>
  <si>
    <t>a) Inactivo. Obras relacionadas con la ODT # 099. Se realizo la construcción del box culvert que aportara las aguas recogidas directamente al Rio Aurrá, sin atravesar la calzada derecha. Se trabaja en el armado del refuerzo y fundida de los encole / descole. La etapa siguiente fue la adecuación de filtros y los llenos con material seleccionado. El concreto utilizado es premezclado y de 28 MPa. Se extendió la capa asfáltica en caliente tipo MSC-25. El transito automotor circula por la calzada derecha.
b) Inactivo. Hacia el PK menor / mayor, ya se cuenta con capa asfáltica en caliente tipo MSC-25 y se inicia corte de la capa asfáltica para la construcción de cuentas en concreto con sección en L. También se intervino el talud del PK 22+100 al que se le colocaron pernos pasivos faltantes y se utilizo un equipo perforador autopropulsado sobre orugas. Sector Meloneras / Talud rehabilitado</t>
  </si>
  <si>
    <t xml:space="preserve">a) 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 
b) Inactivo. La plataforma vial en este sitio ya cuenta con su capa asfáltica en caliente, tipo MSC-25. Mediante cortes con disco diamantado se construyen cunetas triangulares en concreto de 21 MPa por el sistema de ajedrezado. El sitio se encuentra con señalización (H / V) debido a la canalización del transito que entra y sale del municipio de Sopetrán. </t>
  </si>
  <si>
    <t>a) Inactivo. Trabajos concluidos en cortes mecánicos y de llenos para prolongación de tramo vial; cerca al PR 14. El tramo ya cuenta con la capa intermedia de mezcla asfáltica tipo MSC-25. Hubo instalación de defensas metálicas tipo bionda y colocación de bordillos tope llantas prefabricados. Hay trabajo "intermitente" de excavación manual y mecánica para el tendido de redes ITS, se utiliza pajarita CAT 416 F. Sigue pendiente un traslado de redes secas. 
b) Inactivo. Un tramo ya cuenta con capa intermedia asfáltica, tipo MSC-25, cubriéndose la ODT intervenida. Hubo instalación de defensas metálicas tipo bionda. Hacia el PK mayor se construyeron cunetas en concreto con sección triangular, cunetas de corona y filtros perimetrales. También hubo colocación de bordillos tope llantas prefabricados. Sigue pendiente un traslado de redes secas. Sector cercano al PR 14.</t>
  </si>
  <si>
    <t xml:space="preserve">a) Inactivo. Se evidencio fallo sobre el costado derecho (con perdida de banca), por acción de las aguas del Rio Cuaca. Se encuentran las ODT´s # 162 y 163, con tubos Titan x 1500 mm. Pero el brazo del Rio Cauca arremete sobre este costado y los tubos Titan de las ODTs siguen su cabeceo. Sigue el agrietamiento con retroceso de su asentamiento. Hacia el PK menor o K 30+790 (box # 157), se realizo excavación mecánica con CAT 330 D2L a fin de construir 2 muros (28 MPa) en HA acompañantes uno a cada lado del descole del Box (de 6 m.  x 4.5 m y 28 MPa) y luego se le construirá aletas y bajante. Se impermeabilizan concretos con el paramento en contacto con tierras (pintura negra bituminosa), se agregan laminas de lamidren que actúan como drenaje vertical y se protege la impermeabilización de los muros. Se realizara la construcción de sus filtros laterales (geotextil + piedra filtro + tubo ranurado). En este frente de obra se trabaja en forma intermitente. Sector Tierra Mítica
b) Inactivo. Sobre la calzada opuesta (o PK 31+260/680 - CI) se sigue realizando el corte mecánico con dos (2) CAT 330 D2L + volquetas, (con un nuevo trazado) a fin de alejar parte del corredor vial del cauce del Rio Cauca. También realiza la consolidación inmediata de la cara superior perfilada del talud con perforaciones, para colocar pernos pasivos (#10 de L= 3 y 9 m.), drenes en PVC (2.5") y concreto lanzado sobre paneles de malla electrosoldada (15x15x6 mm). El primer tramo del talud tendrá dos (2) fases de excavación y perfilado, con una berma intermedia. Este proceso de protección del talud se repite en dos frentes de obra vecinos (ej. el talud intermedio su cara perfilada será con única pendiente). En ocasiones se trabaja con personal suspendido. Sobre la plataforma vial para mejorar la fundación del paquete de pavimento flexible, se opta por colocar piedra rajón. Se realiza construcción de nueva ODT # 159 x 900 mm acampanada con tubería Titan tipo C-III. Hay descargue y acopio de aceros de refuerzo. Con el traslado del nuevo trazado se abandona el sitio de movimiento en masa presentado hace unos meses. Se trabaja con personal PARE / SIGA. Sector Tierra Mítica. </t>
  </si>
  <si>
    <t>Continua actividad de corte mecánico y retiro de material. Su excavación es para la construcción de dalas de cimentación del muro en TA, se trabaja con CAT 320D2 + pajarita y vibro tipo benitín. Se realiza un saneo de la fundación colocando piedra tipo rajón. Por lo tanto se inicia la colocación de formaletería para las dalas o soleras de nivelación escalonadas. Sobre el PK cercano al estribo se instalara tubería de 1500 mm para ODT que quedara en el intermedio de muro en escamas o TA. Hay continuos chequeos y trabajos topográficos. Para acceder hasta el Rio, hubo necesidad de habilitar una entrada adicional para los equipos, maquinaria y materiales. El acceso a este frente de obra solo se hace por la vía a Bolombolo.</t>
  </si>
  <si>
    <t xml:space="preserve">El material de fresado es llevado (mediante acarreo) al sector de Ahuyamal, sobre tramo vial antiguo PK 25+800. También se esta utilizando el fresado para combinarlo y utilizarlo con los granulares de sub base (se mezcla en proporción 4:1). </t>
  </si>
  <si>
    <t>Concluyo el montaje de la estructura metálica (pórtico como estructura de cubierta definitiva) de la zona o playa de peajes. La cubierta general (con Long= 18.5 m x Ancho= 36.5m), se encuentra cubriendo las 8 islas. La carpa provisional sigue protegiendo las actuales casetas de cobro.    
Sobre la plataforma o playa (que cuenta con 7 islas y 8 carriles de circulación) continúan los trabajos relacionados con la disposición de redes de telecomunicaciones, con la construcción de sus cajas de inspección, de derivación y de distribución y el tapado de tuberías, con material seleccionado. 
Se funden las placas para cimentar las casetas o garitas de cobro (2 casetas por isla). También se les formaletean sus muros (con e= 34 y 13 cm. y alturas entre 1 m y 1.1 m) para ser fundidos en concreto hidráulico macizo y a la vista; el concreto es premezclado de 28 MPa. Sobre la parte superior del muro de la caseta, se colocan y ensamblan perfiles metálicos (tipo Acesco), para que sirva como moldura y cerramiento superior de cada garita. Dentro de las garitas se instalan mesones en concreto y canaletas (porta cables) para tender redes eléctricas, de voz y de datos. Hay modificación de las filas de carros para pago del peaje (y en ambos sentidos) debido a que se intervienen los carriles # 1 a # 4 donde se hacia el cobro regular.</t>
  </si>
  <si>
    <t xml:space="preserve"> Inactivo. El tramo ya cuenta con capa asfáltica en caliente tipo MSC-25. Terminados los cortes de carpeta asfáltica (con disco diamantado) se inicia la colocación de sardineles prefabricados para delimitar el separador central entre calzadas. Estos módulos tienen una altura estándar de 45 cm. Se trabaja con herramienta menor y pajarita CAT 416F</t>
  </si>
  <si>
    <t xml:space="preserve">PK 4+500 CI (muro en TA o # 011). Continua la construcción de una viga tramificada de realce a todo lo largo del muro y apoyada sobre el borde de las escamas prefabricadas (ancho 2.0 x h= 0.5 y tramos de 2.9 m.). </t>
  </si>
  <si>
    <t xml:space="preserve">PK 6+150. Se realizo la marcación para dar inicio a perforación de pernos pasivos de anclaje de L= 6 m. con malla de repartición 3x3 m. sobre un manto rocoso fracturado; se utilizara equipo sobre orugas autopropulsado. Sector Partidas de Ebéjico. </t>
  </si>
  <si>
    <t>PK 17+600 CD. En el tramo del ultimo talud (hacia PK mayor), se lleva a cabo el perfilado de la corona con la colocación inmediata de malla electrosoldada y concreto lanzado. Sector La Guaracú I</t>
  </si>
  <si>
    <t>PK 5+800 CI, construcción de muro # 167 en HA. Se seguirá realizando la excavación, para fundir el concreto de los caisson, van excavados 11 und. Este tipo de cimentación, cuenta con profundidades variables entre 8 y 11 m. Sector perdida de banca, La Potrera.</t>
  </si>
  <si>
    <t>PK 18+400 CI. Luego del colocados los granulares correspondientes a la estructura del pavimento flexible y su imprimación, se llevo a cabo el extendido de la mezcla asfáltica en caliente MSC-25. Retorno de San Jerónimo</t>
  </si>
  <si>
    <t>PK 33+500 CI. Continua actividad de corte mecánico. Su excavación es para la construcción de dalas de cimentación del muro en TA, se trabaja con CAT 320D2 + pajarita y vibro. También se realiza un saneo de la fundación colocando piedra tipo rajón. Aproche puente sobre el Rio Cauca</t>
  </si>
  <si>
    <t xml:space="preserve">PK 27+800.  Falso túnel La Puerta. Colocados los aceros verticales se procede (con ayuda del brazo telescópico de una grúa + eslinga) a colocar la formaletería de dos tramos de muro. El galibo horizontal de la obra es de 4 m. Sector Planta de asfaltos o K 27  </t>
  </si>
  <si>
    <t>PK 0+060 CI. Playa de peajes. Dentro del interior de cada garita o caseta,  se construyen mesones en concreto reforzado.</t>
  </si>
  <si>
    <t xml:space="preserve">PK 0+060 CI. Playa de peajes. Personal lleva a cabo la instalación de la ventanería de las garitas, una vez montados y soldados los perfiles de acero correspondientes. </t>
  </si>
  <si>
    <t>En este periodo el concesionario continuó con las siguientes actividades:
En Portal Medellín (PK0+804)-UF3.1B,  El día 12 de agosto se terminó con la excavación, sección completa del  túnel principal, en el PK2+980,3; L acumulada=2,176,3 m a origen. En el periodo se continuó con actividades de instalación de concreto 25 MPa (sin fibra) para revestimiento en el K1+085 a K1+035; Lacumulada=1,945,30 m, instalación de calibradores L= 20 cm (SC-1), en malla tresbolillo con espaciamiento longitudinal (L)=1,50 y transversal (T)=2m, hasta la abscisa K0+905 y la instalación de drenajes  de Dint= 14" , con tuberías perforadas Novafort, hasta la abscisas PK2+720 Hastial Derecho y PK2+760 Hastial izquierdo .
Se evidencio la instalación de concreto  de f´c=25 MPa, con solera plana en PK0+850 a PK0+880 y contraboveda, entre los PK0+804  a PK0+850.
En el periodo, el ventilador axial Zitron 286 KW, localizado en el portal  Santa Fe, fue desmontado; la ventilación se esta ejecutando en forma natural. También, se evidenció que la PTAR  continuó con la suspensión del tratamiento de las aguas residuales y de perforación de las galerías, localizadas en el área del portal  Medellín; el vertimiento se esta realizando por los nuevos drenajes Dint =14" y la cuneta de drenaje del túnel nuevo;  cual descarga en las piscinas del Portal santa Fe y posteriormente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y mantenimiento de cunetas), tanto de las aguas de infiltración como de perforación de las galerías, además del mantenimiento permanente que se le debe ejecutar a la rasante actual; ya que ésta sigue presentando baches llenos de agua y desniveles pronunciados. Igualmente se le informó nuevamente al concesionario que debe relanzar concreto en los "PATEROS"  que están con escaso concreto de sostenimiento.</t>
  </si>
  <si>
    <r>
      <t xml:space="preserve">En el Portal Santa Fe de Antioquia (PK5+410)-UF3.1B. </t>
    </r>
    <r>
      <rPr>
        <b/>
        <sz val="11"/>
        <rFont val="Arial"/>
        <family val="2"/>
      </rPr>
      <t xml:space="preserve"> </t>
    </r>
    <r>
      <rPr>
        <sz val="11"/>
        <rFont val="Arial"/>
        <family val="2"/>
      </rPr>
      <t>El día 12 de agosto se terminó con la excavación, sección completa del  túnel principal, en el PK2+980,3; L acumulada=2.429,7m a origen,  En el periodo informado, se continuó con las actividades de instalación de concreto del revestimiento de  f'c=25 MPa, a los 28 días (sin fibra),  entre las abscisas PK5+150 al PK5+290, Lacumulada=2309,7m ,  instalación de calibradores L= 15 cm (SB-1), en malla tresbolillo con espaciamiento longitudinal (L)=1,50 y transversal (T)=2m, hasta la abscisa K5+295 y la instalación de drenajes  de Dint= 14" , con tuberías perforadas Novafort, hasta las abscisas PK3+990 Hastial Derecho y PK4+545 Hastial izquierdo .
Se evidencia instalación de concreto para solera plana en terreno tipo SC-4R, entre los PK3+105-PK3+143 y se tiene el tramo de prueba (presentación) de las tuberías de BT (baja tensión) para iluminación y telecomunicaciones), en el PK3+105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(Galerías);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</si>
  <si>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t xml:space="preserve">En  Galería de Conexión Peatonal No 1 (1+230-tunel nuevo):  La excavación del entronque desde el túnel en servicio avanzó hasta  L= 9,2 metros. Se continuó la excavación desde el túnel nuevo, en terrenos con sostenimiento Tipo SG- II,sección completa. Avanza en el PK0+021,1- L acumulada=30,30 m a origen; éste avance esta adelantado,  teniendo en cuenta el programa de obra actualizado, el cual contempla el  inicio de excavación, el día 31 de marzo de 2021.
En  Galería de Conexión Peatonal No 2 (2+165-Tunel nuevo):  Se termino la excavación de la galería desde el túnel nuevo (Cale), avanzó en terrenos con sostenimiento Tipo SG- II,sección completa, en el PK0+085,4. Ltotal acumulada de excavación = 92,4 m; éste avance esta adelantado,  teniendo en cuenta el programa de obra actualizado, el cual contempla el  inicio de excavación, el día 21 de enero de 2021.
En  Galería de Conexión Peatonal No 3 (2+675-Tunel nuevo): Se termino la excavación de la galería desde el túnel nuevo (Cale), avanzó en terrenos con sostenimiento Tipo SG- II,sección completa, en el PK0+081,1. Ltotal acumulada de excavación = 86,6 m; éste avance esta adelantado,  teniendo en cuenta el programa de obra actualizado, el cual contempla el  inicio de excavación, el día 30 de diciembre de 2021.
En  Galería de Conexión Vehicular No 2 (3+165-Tunel nuevo):  Se termino la excavación de la galería desde el túnel nuevo (Cale), avanzó en terrenos con sostenimiento Tipo SG- II,sección completa, en el PK0+074,6. Ltotal acumulada de excavación = 80,6 m; éste avance esta adelantado,  teniendo en cuenta el programa de obra actualizado, el cual contempla el  inicio de excavación, el día 30 de diciembre de 2020.
En  Galería de Conexión Peatonal No 4 (3+645-Tunel nuevo):  Se terminó la excavación de la galería desde el túnel nuevo (cale), avanzó en terrenos con sostenimiento Tipo SG- I,sección completa, en el PK0+069,7. L total acumulada de excavación =75,7 m a origen; éste avance esta adelantado,  teniendo en cuenta el programa de obra actualizado, el cual contempla el  inicio de excavación, el día 26 de enero de 2021.
En  Galería de Conexión Peatonal No 5 (4+050-Tunel nuevo):  Se terminó la excavación de la galería desde el túnel nuevo (Cale), avanzó en terrenos con sostenimiento Tipo SG- II,sección completa, en el PK0+88,60. L total acumulada de excavación =96,10 m; éste avance esta adelantado,  teniendo en cuenta el programa de obra actualizado, el cual contempla el  inicio de excavación, el día 18 de febrero de 2021.
En  Galería de Conexión Vehicular No 3 (4+445- Túnel nuevo),  Se terminó la excavación de la galería desde el túnel nuevo (Cale), avanzó en terrenos con sostenimiento Tipo SG- II,sección completa, en el PK0+110,40. L total acumulada de excavación =114,80 m; éste avance esta adelantado,  teniendo en cuenta el programa de obra actualizado, el cual contempla el  inicio de excavación, el día 12 de marzo de 2021.
En  Galería de Conexión Peatonal No 6 (4+940- Túnel nuevo) ,   La excavación del entronque desde el túnel en servicio avanzó hasta  L= 4,0 metros. Se continuó la excavación desde el túnel nuevo, en terrenos con sostenimiento Tipo SG- II,sección completa, Avanza en el PK0+105,10. L total acumulada de excavación = 109,10 m, éste avance esta adelantado,  teniendo en cuenta el programa de obra actualizado, el cual contempla el  inicio de excavación, el día 17 marzo de 2021.
En  Galería de Conexión Vehicular No 1 (1+695- Túnel nuevo),   La excavación del entronque desde el túnel en servicio avanzó hasta  L= 4,0 metros. Se continuó la excavación desde el túnel nuevo, en terrenos con sostenimiento Tipo SG- II,sección completa, Avanza en el PK0+035,5. L total acumulada de excavación = 42,50 m, éste avance esta adelantado,  teniendo en cuenta el programa de obra actualizado, el cual contempla el  inicio de excavación, el día 12 marzo de 2021.
En Galería Peatonal No 1 (1+230- Túnel nuevo)  ; La excavación del entronque desde el túnel en servicio (9+580) avanzó hasta  L= 9,2 metros.  Se continuó la excavación desde el túnel nuevo, en terrenos con sostenimiento Tipo SG- II,sección completa, Avanza en el PK0+049,20. L total acumulada de excavación = 58,40 m, éste avance esta adelantado,  teniendo en cuenta el programa de obra actualizado, el cual contempla el  inicio de excavación, el día 27 abril de 2021. </t>
  </si>
  <si>
    <t xml:space="preserve">     PK0+825 - PK0+850 - UF3.1D - Relleno granular, para habilitar paso vehicular en sección construida de contraboveda. Portal Medellín.</t>
  </si>
  <si>
    <t>PK0+825 - PK0+850 - UF3.1D - Excavación  para construcción muro guía contraboveda hastial izquierdo. Portal Medellín.</t>
  </si>
  <si>
    <t xml:space="preserve"> PK1+230 - UF3.1D - Frente inactivo, galería peatonal N°1, Sección sostenimiento SG-II. Portal Medellín.</t>
  </si>
  <si>
    <t xml:space="preserve"> PK1+695 - UF3.1D -Frente inactivo, galería vehicular N°1, Sección sostenimiento SG-II. Portal Medellín.</t>
  </si>
  <si>
    <t xml:space="preserve"> PK2+550 - UF3.1D - Relanzado pateros revestimiento. Portal Medellín (hastial derecho).</t>
  </si>
  <si>
    <t xml:space="preserve">   PK2+640 - UF3.1D - Excavación para drenajes, Hastial derecho. Portal Medellín.</t>
  </si>
  <si>
    <t xml:space="preserve">  PK3+315 - UF3.1D - Caja de inspección en drenaje. Portal Santa Fe (hastial izquierd0).</t>
  </si>
  <si>
    <t xml:space="preserve">  PK3+320- UF3.1D - Compactación material granular de nivelación. Portal Santa Fe. </t>
  </si>
  <si>
    <t xml:space="preserve"> PK3+260 - UF3.1D - Toma de muestra por parte de la interventoría, para caracterización de material granular de nivelación. Portal Santa Fe. </t>
  </si>
  <si>
    <t xml:space="preserve">  PK3+260 - UF3.1D - Toma de muestra por parte de la interventoría, para caracterización de material granular de nivelación. Portal Santa Fe. </t>
  </si>
  <si>
    <t xml:space="preserve">   PK3+990 - UF3.1D - Construcción de dren colector de Dint = 14". Portal Santa Fe (hastial derecho).</t>
  </si>
  <si>
    <t>PK4+940 - UF3.1D -Frente inactivo, galería peatonal N°6, Sección sostenimiento SG-II. Portal Santa Fe.</t>
  </si>
  <si>
    <t xml:space="preserve"> PK5+210 - UF3.1D - Instalación de 15 cm  de concreto de revestimiento 25 MPa para revestimiento, sección sostenimiento tipo SB-1. Portal Santa Fe.</t>
  </si>
  <si>
    <t xml:space="preserve"> PK5+295 - UF3.1D - Instalación de calibradores de 15 cm para control de lanzado de revestimiento, sección sostenimiento tipo SB-1. Portal Santa Fe.</t>
  </si>
  <si>
    <t xml:space="preserve">  PK5+450 - UF3.1D -PETAR en funcionamiento. Portal Santa Fe.</t>
  </si>
  <si>
    <t>En la UF 1: El concesionario en este periodo ejecuto las siguientes actividades: En recorrido de inspección de interventoría, se  evidenció que el concesionario, no ejecuto actividades de traslado de redes secas en este sector de obra activo.
Avance a la fecha UF1: Redes Secas 93%
En la UF3: El concesionario en este periodo ejecuto las siguientes actividades:  En recorrido de inspección de interventoría, se  evidenció que el concesionario, no ejecutó actividades en este frente de obra activo.
Avance a la fecha UF3: Redes Secas 89,2%.</t>
  </si>
  <si>
    <t>En la UF 1 : En el periodo informado,  En recorrido de inspección de interventoría, se evidenció que el concesionario, en el PK6+000 - UF1 - Calzada izquierda, se continuó ejecutando la   construcción del tanque de distribución agua cruda. Sector Partidas de Ebejico.
En la UF 3 : En el periodo informado,  En recorrido de inspección de interventoría, se evidenció que el concesionario,  no ejecutó actividades de traslado de redes húmedas.
Avance a la fecha UF1: Redes húmedas : 88,8%.
Avance a la fecha UF3: Redes húmedas : 98,0%.</t>
  </si>
  <si>
    <r>
      <rPr>
        <b/>
        <sz val="11"/>
        <rFont val="Calibri"/>
        <family val="2"/>
        <scheme val="minor"/>
      </rPr>
      <t xml:space="preserve">PK0+000 A PK17+800 ACT 0 a 31 - UF1. </t>
    </r>
    <r>
      <rPr>
        <sz val="11"/>
        <rFont val="Calibri"/>
        <family val="2"/>
        <scheme val="minor"/>
      </rPr>
      <t>No se evidencia actividades de traslado de redes secas.</t>
    </r>
  </si>
  <si>
    <r>
      <rPr>
        <b/>
        <sz val="10"/>
        <color theme="1"/>
        <rFont val="Calibri"/>
        <family val="2"/>
        <scheme val="minor"/>
      </rPr>
      <t xml:space="preserve">PK0+000 A PK17+800 ACT 0 a 31 - UF1. </t>
    </r>
    <r>
      <rPr>
        <sz val="10"/>
        <color theme="1"/>
        <rFont val="Calibri"/>
        <family val="2"/>
        <scheme val="minor"/>
      </rPr>
      <t>No se evidencia actividades de traslado de redes secas.</t>
    </r>
  </si>
  <si>
    <r>
      <rPr>
        <b/>
        <sz val="10"/>
        <rFont val="Calibri"/>
        <family val="2"/>
        <scheme val="minor"/>
      </rPr>
      <t xml:space="preserve">PK6+000 - UF1 - CI. </t>
    </r>
    <r>
      <rPr>
        <sz val="10"/>
        <rFont val="Calibri"/>
        <family val="2"/>
        <scheme val="minor"/>
      </rPr>
      <t>Acabados, tanque de distribución agua cruda. Sector Partidas de Ebejico.</t>
    </r>
  </si>
  <si>
    <r>
      <t>PK6+000 - UF1 - CI.</t>
    </r>
    <r>
      <rPr>
        <sz val="10"/>
        <color theme="1"/>
        <rFont val="Calibri"/>
        <family val="2"/>
        <scheme val="minor"/>
      </rPr>
      <t xml:space="preserve"> Acabados, tanque de distribución agua cruda. Sector Partidas de Ebejico.</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</si>
  <si>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rFont val="Arial"/>
        <family val="2"/>
      </rPr>
      <t>. PILA 1: Caisson 3 h=26m, Caisson 4 h=31,2m.  PiILA 2: Caisson 5 h=26m, Caisson 6 h=32m . PILA 3: Caisson 7 h=18,1m, Caisson 8 h=15,5m. PILA 4: Caisson 9 h=16m, Caisson 10 h=18,6m. PILA 5: Caisson 11 h=20,5m, Caisson 12 h=21m.  ESTRIBO 2: Caisson 13 h=17m,  Caisson 14 h=17,5m.
El avance en excavación y construcción de anillos es del 104,6%.</t>
    </r>
    <r>
      <rPr>
        <sz val="11"/>
        <color theme="1"/>
        <rFont val="Arial"/>
        <family val="2"/>
      </rPr>
      <t xml:space="preserve">
</t>
    </r>
    <r>
      <rPr>
        <u/>
        <sz val="11"/>
        <color theme="1"/>
        <rFont val="Arial"/>
        <family val="2"/>
      </rPr>
      <t xml:space="preserve">INFRAESTRUCTURA
</t>
    </r>
    <r>
      <rPr>
        <sz val="11"/>
        <color theme="1"/>
        <rFont val="Arial"/>
        <family val="2"/>
      </rPr>
      <t>ESTRIBO 1: Se funde el núcleo de los Caissons 1 y 2.</t>
    </r>
    <r>
      <rPr>
        <sz val="11"/>
        <color rgb="FFFF0000"/>
        <rFont val="Arial"/>
        <family val="2"/>
      </rPr>
      <t xml:space="preserve"> </t>
    </r>
    <r>
      <rPr>
        <sz val="11"/>
        <rFont val="Arial"/>
        <family val="2"/>
      </rPr>
      <t>Se instala solado, acero de refuerzo  y encofrado y se funde Viga Cabezal , tramos 1 y 2 del cuerpo del Estribo, topes sísmicos y pedestales, aletas y muros laterales</t>
    </r>
    <r>
      <rPr>
        <sz val="11"/>
        <color rgb="FFFF0000"/>
        <rFont val="Arial"/>
        <family val="2"/>
      </rPr>
      <t>.</t>
    </r>
    <r>
      <rPr>
        <sz val="11"/>
        <rFont val="Arial"/>
        <family val="2"/>
      </rPr>
      <t xml:space="preserve"> Se instala acero de refuerzo y se funde losa de aproximación  Estribo 1.
</t>
    </r>
    <r>
      <rPr>
        <sz val="11"/>
        <color rgb="FFFF0000"/>
        <rFont val="Arial"/>
        <family val="2"/>
      </rPr>
      <t>PILA 1:</t>
    </r>
    <r>
      <rPr>
        <sz val="11"/>
        <rFont val="Arial"/>
        <family val="2"/>
      </rPr>
      <t xml:space="preserve"> Instalación acero de refuerzo núcleo Caisson  3 y 4 y se funden</t>
    </r>
    <r>
      <rPr>
        <sz val="11"/>
        <color rgb="FFFF0000"/>
        <rFont val="Arial"/>
        <family val="2"/>
      </rPr>
      <t>.</t>
    </r>
    <r>
      <rPr>
        <sz val="11"/>
        <rFont val="Arial"/>
        <family val="2"/>
      </rPr>
      <t xml:space="preserve"> Adecuación área Viga Cabezal. Instalación andamios de carga, plataforma, acero de refuerzo Viga Cabezal, topes sísmicos, pedestales y ductos para cables de tensionamiento. Se funde Viga Cabezal y se instalan cables 1, 2, 3, 4 y 5  y se tensionan.
</t>
    </r>
    <r>
      <rPr>
        <sz val="11"/>
        <color rgb="FFFF0000"/>
        <rFont val="Arial"/>
        <family val="2"/>
      </rPr>
      <t xml:space="preserve">PILA 2: Instalación acero de refuerzo  núcleos Caissons 5 y 6 y se funden. Excavación mecánica  adecuación área construcción Viga Cabezal. Se instala solado.Instalación andamios de carga, plataforma y acero de refuerzo Viga Cabezal.
</t>
    </r>
    <r>
      <rPr>
        <sz val="11"/>
        <rFont val="Arial"/>
        <family val="2"/>
      </rPr>
      <t>PILA 3: Instalación acero de refuerzo núcleos  Caissons 7 y 8. y se funden. Se instala acero de refuerzo y encofrado y se funden columnas a nivel de Viga cabezal. Insntalación de plataforma e instalación acero de refuerzo Viga Cabezal y se funde.</t>
    </r>
    <r>
      <rPr>
        <sz val="11"/>
        <color rgb="FFFF0000"/>
        <rFont val="Arial"/>
        <family val="2"/>
      </rPr>
      <t xml:space="preserve">
</t>
    </r>
    <r>
      <rPr>
        <sz val="11"/>
        <rFont val="Arial"/>
        <family val="2"/>
      </rPr>
      <t>PILA 4: Instalación acero de refuerzo núcleos Caissons 9 y 10 y se funden. Se instala acero de refuerzo y encofrado y se funde columna 10. Instalacion de plataforma y acero de refuerzo para Viga Cabezal y se funde con topes sísmicos y pedestales.</t>
    </r>
    <r>
      <rPr>
        <sz val="11"/>
        <color rgb="FFFF0000"/>
        <rFont val="Arial"/>
        <family val="2"/>
      </rPr>
      <t xml:space="preserve">
</t>
    </r>
    <r>
      <rPr>
        <sz val="11"/>
        <rFont val="Arial"/>
        <family val="2"/>
      </rPr>
      <t xml:space="preserve">PILA 5: Instalación acero de refuerzo núcleos Caisson 11 y 12 y se funden. Instalación acero de refuerzo Viga Cabezal, topes sísmicos y pedestales y se funden. </t>
    </r>
    <r>
      <rPr>
        <sz val="11"/>
        <color rgb="FFFF0000"/>
        <rFont val="Arial"/>
        <family val="2"/>
      </rPr>
      <t xml:space="preserve">
</t>
    </r>
    <r>
      <rPr>
        <sz val="11"/>
        <rFont val="Arial"/>
        <family val="2"/>
      </rPr>
      <t>ESTRIBO 2: Instalación acero de refuerzo y se funden núcleos Caissons 13 y 14.</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</si>
  <si>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Adecuación área para construcción de Estribo. Se funde losa de apoyo andamios de carga.</t>
    </r>
    <r>
      <rPr>
        <sz val="11"/>
        <color theme="1"/>
        <rFont val="Arial"/>
        <family val="2"/>
      </rPr>
      <t xml:space="preserve">
</t>
    </r>
    <r>
      <rPr>
        <sz val="11"/>
        <rFont val="Arial"/>
        <family val="2"/>
      </rPr>
      <t>PILA 1: Instalación acero de refuerzo núcleos Caissons 3, 4, 5  y 6 se funden.</t>
    </r>
    <r>
      <rPr>
        <sz val="11"/>
        <color rgb="FFFF0000"/>
        <rFont val="Arial"/>
        <family val="2"/>
      </rPr>
      <t xml:space="preserve"> </t>
    </r>
    <r>
      <rPr>
        <sz val="11"/>
        <rFont val="Arial"/>
        <family val="2"/>
      </rPr>
      <t xml:space="preserve">Se termina la la elevación de las columnas de los Caissons a nivel de construcción del Dado. Se tienen que demoler aproximadamente 4m de altura de columnas de Caisson por carencia de 12 N°10 en cada Caissons. Para los Caissons 3, 4, 5 y 6 se perforan 4m se instalan las varillas y se anclan con iyección de lechada y se realiza el realce de las columnas de estos Caissons a nivel de construcción del Dado. Se instalan Vigas metálicas y prefabricados plataforma para Dado. Se instala acero de refuerzo y encofrado Dado y se funde. Se instala acero de refuerzo y encofrado Columna maciza de 6x3x8 y se funde tercer tramo. Instalación acero de refuerzo y encofrado de columnas rectangulares A y B. Se funde el último tramo. </t>
    </r>
    <r>
      <rPr>
        <sz val="11"/>
        <color rgb="FFFF0000"/>
        <rFont val="Arial"/>
        <family val="2"/>
      </rPr>
      <t>Se instala plataforma para losa superior Dovela sobre Pila, se instala acero de refuerzo.</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t>
    </r>
    <r>
      <rPr>
        <sz val="11"/>
        <rFont val="Arial"/>
        <family val="2"/>
      </rPr>
      <t xml:space="preserve"> </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
</t>
    </r>
    <r>
      <rPr>
        <u/>
        <sz val="11"/>
        <color theme="1"/>
        <rFont val="Arial"/>
        <family val="2"/>
      </rPr>
      <t xml:space="preserve">SUPERESTRUCTURA
</t>
    </r>
    <r>
      <rPr>
        <sz val="11"/>
        <rFont val="Arial"/>
        <family val="2"/>
      </rPr>
      <t>PILA 2:</t>
    </r>
    <r>
      <rPr>
        <u/>
        <sz val="11"/>
        <rFont val="Arial"/>
        <family val="2"/>
      </rPr>
      <t xml:space="preserve"> I</t>
    </r>
    <r>
      <rPr>
        <sz val="11"/>
        <rFont val="Arial"/>
        <family val="2"/>
      </rPr>
      <t>nstal</t>
    </r>
    <r>
      <rPr>
        <sz val="11"/>
        <color theme="1"/>
        <rFont val="Arial"/>
        <family val="2"/>
      </rPr>
      <t>ación de plataforma para construcción de dovela sobre Pila y dovelas N°1 en voladizos 3 y 4. Se instala acero de refuerzo y encofrado en la losa inferior y muros y se funden. Se instala acero de refuerzo de la losa superior y se funde, se tensionan cables</t>
    </r>
    <r>
      <rPr>
        <sz val="11"/>
        <color rgb="FFFF0000"/>
        <rFont val="Arial"/>
        <family val="2"/>
      </rPr>
      <t>.</t>
    </r>
    <r>
      <rPr>
        <sz val="11"/>
        <rFont val="Arial"/>
        <family val="2"/>
      </rPr>
      <t xml:space="preserve">Instalacion carros de avance voladizos 3 y 4  para construir Dovelas 2, 3, 4 , 5 , 6, 7, 8, 9 y 10; se instala acero de refuerzo , ductos , se funden, se tensionan cables. </t>
    </r>
    <r>
      <rPr>
        <sz val="11"/>
        <color rgb="FFFF0000"/>
        <rFont val="Arial"/>
        <family val="2"/>
      </rPr>
      <t xml:space="preserve">
</t>
    </r>
    <r>
      <rPr>
        <sz val="11"/>
        <rFont val="Arial"/>
        <family val="2"/>
      </rPr>
      <t>ESTRIBO 2: Instalación acero de refuerzo y encofrado Dovela sobre Estribo y se funde con los topes sísmicos.</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</si>
  <si>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sz val="11"/>
        <rFont val="Arial"/>
        <family val="2"/>
      </rPr>
      <t xml:space="preserve"> Instalación acero de refuerzo Dovela sobre Estribo. Se funde con topes sísmicos y losa superior</t>
    </r>
    <r>
      <rPr>
        <u/>
        <sz val="11"/>
        <color theme="1"/>
        <rFont val="Arial"/>
        <family val="2"/>
      </rPr>
      <t xml:space="preserve">
</t>
    </r>
    <r>
      <rPr>
        <sz val="11"/>
        <color theme="1"/>
        <rFont val="Arial"/>
        <family val="2"/>
      </rPr>
      <t xml:space="preserve">ESTRIBO 2. Se funden los núcleos de los Caissons 11 y 12. Se instala concreto de solado para Viga Cabezal. </t>
    </r>
    <r>
      <rPr>
        <sz val="11"/>
        <rFont val="Arial"/>
        <family val="2"/>
      </rPr>
      <t>Se instala acero de refuerzo y encofrado para Viga Cabezal y se funde.</t>
    </r>
    <r>
      <rPr>
        <sz val="11"/>
        <color rgb="FFFF0000"/>
        <rFont val="Arial"/>
        <family val="2"/>
      </rPr>
      <t xml:space="preserve"> </t>
    </r>
    <r>
      <rPr>
        <sz val="11"/>
        <rFont val="Arial"/>
        <family val="2"/>
      </rPr>
      <t>Instalación acero de refuerzo fase 1 y 2 Dovela sobre estribo y se funden. Se instala acero de refuerzo y encofrado muro espaldar y aletas costado izquierdo y derecho y se funden.. Se funde losa aproximación Estribo 2.
PILA 1: Se funden núcleos de Caisson 3, 4, 5 y 6.Se instala acero de refuerzo y encofrado elevación de estas Columnas a nivel de Dado y se funden. Instalación de plataforma  y acero de refuerzo para el  Dado y se funde. Instalación acero de refuerzo y encofrado de columnas rectangulares y se funden a nivel de construcción de las Dovelas.</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t>
    </r>
    <r>
      <rPr>
        <sz val="11"/>
        <color rgb="FFFF0000"/>
        <rFont val="Arial"/>
        <family val="2"/>
      </rPr>
      <t xml:space="preserve">
</t>
    </r>
    <r>
      <rPr>
        <u/>
        <sz val="11"/>
        <rFont val="Arial"/>
        <family val="2"/>
      </rPr>
      <t xml:space="preserve">SUPERESTRUCTURA
</t>
    </r>
    <r>
      <rPr>
        <sz val="11"/>
        <rFont val="Arial"/>
        <family val="2"/>
      </rPr>
      <t>PILA 1:</t>
    </r>
    <r>
      <rPr>
        <sz val="11"/>
        <color rgb="FFFF0000"/>
        <rFont val="Arial"/>
        <family val="2"/>
      </rPr>
      <t xml:space="preserve">  </t>
    </r>
    <r>
      <rPr>
        <sz val="11"/>
        <rFont val="Arial"/>
        <family val="2"/>
      </rPr>
      <t>Instalación de plataforma para construcción  de losa superior de conexión a Dovela sobre Pila; se instala acero de refuerzo y se funde. Se tensionan cables. Se instala plataforma  y acero de refuerzo para Dovela sobre Pila y Dovelas N°1. Se funde losa inferior, muros y losa superior. Montaje carros de avance para construir Dovelas N°2 , 3, 4, 5, 6, 7 y 8 voladizos1 y 2. Se instala acero de refuerzo, ductos, se funden y se tensionan cables. Se desplaza carro de avance para construir Dovela de cierre en voladizos 2 y 3, se instala acero de refuerzo y se funde.</t>
    </r>
    <r>
      <rPr>
        <sz val="11"/>
        <color rgb="FFFF0000"/>
        <rFont val="Arial"/>
        <family val="2"/>
      </rPr>
      <t xml:space="preserve"> Seinstalan cables de continuidad y se tensionan.
</t>
    </r>
    <r>
      <rPr>
        <sz val="11"/>
        <rFont val="Arial"/>
        <family val="2"/>
      </rPr>
      <t>PILA 2: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 Instalación acero de refuerzo losa superior Dovela sobre Pila 2 y Dovelas 1 y se funde.Tensionamiento de cables Dovela N°1. Instalación de carros de avance para construcción de Dovelas N°2 , 3,  4,  5,  6 y 7 en voladizos 3 y 4. Se instala acero de refuerzo y encofrado y se funden. Se tensionan los cables de estas Dovelas.</t>
    </r>
    <r>
      <rPr>
        <sz val="11"/>
        <color rgb="FFFF0000"/>
        <rFont val="Arial"/>
        <family val="2"/>
      </rPr>
      <t xml:space="preserve"> </t>
    </r>
    <r>
      <rPr>
        <sz val="11"/>
        <rFont val="Arial"/>
        <family val="2"/>
      </rPr>
      <t>Dezplazamiento carros de avance para construcción de Dovelas N°8. Se instala acero de refuerzo y ductos para instalación de los cables. Se funden Dovelas y se tensionan cables.</t>
    </r>
    <r>
      <rPr>
        <u/>
        <sz val="11"/>
        <rFont val="Arial"/>
        <family val="2"/>
      </rPr>
      <t xml:space="preserve">
</t>
    </r>
    <r>
      <rPr>
        <sz val="11"/>
        <color theme="1"/>
        <rFont val="Arial"/>
        <family val="2"/>
      </rPr>
      <t xml:space="preserve">
El avance en excavación y construcción de anillos es del 105,3,%</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</si>
  <si>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 xml:space="preserve">Instalación acero de refuerzo losa de aproximación Estribo 2 y se funde.
El Puente inicialmente se componía de 6 vanos y tenía una longitud de 190m. Por cambios en las condiciones del proyecto el concesionario añadió 3 vanos hacia PKmenores, con lo cual la longitud total del Puente será de 290,87m. El ESTRIBO 1 deberá ser modificado para dar continuidad a la estructura, por este motivo el concesionario  realiza la demolición del muro espaldar y demolición parcial de la  Viga cabezal hacia PK menores. Se realiza perforacion y anclaje acero de refuerzo, encofrado ampliación Viga Cabezal , topes sísmicos, pedestalesy se funden.
Se realizó la excavación de los Caissons de los nuevos vanos:
ESTRIBO 1A: Caisson 25 h=15m;  Caisson 26 h=16,4m
PILA 1A: Caisson 27 h=20,7m;  Caisson 28 h=19,5m
PILA 2A: Caisson 29 h=18m;  Caisson 30 </t>
    </r>
    <r>
      <rPr>
        <sz val="11"/>
        <color rgb="FFFF0000"/>
        <rFont val="Arial"/>
        <family val="2"/>
      </rPr>
      <t xml:space="preserve">
</t>
    </r>
    <r>
      <rPr>
        <sz val="11"/>
        <rFont val="Arial"/>
        <family val="2"/>
      </rPr>
      <t xml:space="preserve">ESTRIBO 1A: Se instala acero de refuerzo núcleos 25 y 26 y se funden . Se instala acero de refuerzo y encofrado elevación columnas Caissons y de funden a nivel de Viga cabezal.
PILA 2A:  Se instala acero de refuerzo de los núcleos 29 y 30 y se funden. Se realiza la elevación de columnas a nivel de la Viga cabezal. Instalación de andamios de carga  y plataforma para Viga Cabezal. Se instala acero de refuerzo y encofrado Viga Cabezal, topes sísmicos y pedestales y se funden.
 PILA 1A,se instala cero de refuerzo núcleo del Caisson 27 y 28 y se funden. Instalación acero de refuerzo y encofrado elevación Columna Caisson 28 . Instalación plataforma, acero de refuerzo y encofrado, Viga Cabezal, topes sísmicos y pedestales y se funde.
</t>
    </r>
    <r>
      <rPr>
        <sz val="11"/>
        <color rgb="FFFF0000"/>
        <rFont val="Arial"/>
        <family val="2"/>
      </rPr>
      <t xml:space="preserve">
</t>
    </r>
    <r>
      <rPr>
        <u/>
        <sz val="11"/>
        <color rgb="FFFF0000"/>
        <rFont val="Arial"/>
        <family val="2"/>
      </rPr>
      <t xml:space="preserve">SUPERESTRUCTURA </t>
    </r>
    <r>
      <rPr>
        <sz val="11"/>
        <color rgb="FFFF0000"/>
        <rFont val="Arial"/>
        <family val="2"/>
      </rPr>
      <t xml:space="preserve">
Instalación de mortero de nivelación con Sika Grout sobre pedestales. Montaje del Equipo lanza-vigas en el Estribo 2.</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</si>
  <si>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r>
      <rPr>
        <sz val="11"/>
        <rFont val="Arial"/>
        <family val="2"/>
      </rPr>
      <t xml:space="preserve"> Instalación acero de refuerzo y encofrado de aletas integradas y se funden.</t>
    </r>
    <r>
      <rPr>
        <sz val="11"/>
        <color rgb="FFFF0000"/>
        <rFont val="Arial"/>
        <family val="2"/>
      </rPr>
      <t xml:space="preserve">
</t>
    </r>
    <r>
      <rPr>
        <u/>
        <sz val="11"/>
        <color rgb="FFFF0000"/>
        <rFont val="Arial"/>
        <family val="2"/>
      </rPr>
      <t xml:space="preserve">SUPERESTRUCTURA
</t>
    </r>
    <r>
      <rPr>
        <sz val="11"/>
        <rFont val="Arial"/>
        <family val="2"/>
      </rPr>
      <t>Instalación  mortero de nivelación con Sika Grout sobre pedestales. Montaje del Equipo lanza-vigas.</t>
    </r>
    <r>
      <rPr>
        <sz val="11"/>
        <color rgb="FFFF0000"/>
        <rFont val="Arial"/>
        <family val="2"/>
      </rPr>
      <t xml:space="preserve">
</t>
    </r>
    <r>
      <rPr>
        <sz val="11"/>
        <rFont val="Arial"/>
        <family val="2"/>
      </rPr>
      <t>Vanos 1, 2,  3 y 4: Instalación de Vigas prefabricadas sobre apoyos de neopreno, construcción de Diafragmas, instalación de pre-losas, acero de refuerzo de la losa y se funden.</t>
    </r>
    <r>
      <rPr>
        <sz val="11"/>
        <color rgb="FFFF0000"/>
        <rFont val="Arial"/>
        <family val="2"/>
      </rPr>
      <t xml:space="preserve">
Instalación plataforma y acero de refuerzo para voladizos vanos 2, 3 y 4 costado izquierdo y se funden. Instalación plataforma y acero de refuerzo para voladizos costado derecho.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</si>
  <si>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t>
    </r>
    <r>
      <rPr>
        <sz val="11"/>
        <rFont val="Arial"/>
        <family val="2"/>
      </rPr>
      <t xml:space="preserve">Seconstruye losa de aproximación.
</t>
    </r>
    <r>
      <rPr>
        <u/>
        <sz val="11"/>
        <rFont val="Arial"/>
        <family val="2"/>
      </rPr>
      <t xml:space="preserve">SUPERESTRUCTURA
</t>
    </r>
    <r>
      <rPr>
        <sz val="11"/>
        <rFont val="Arial"/>
        <family val="2"/>
      </rPr>
      <t>Instalación de mortero de nivelación con Sika Grout sobre pedestales. Montaje del Equipo lanza-vigas.</t>
    </r>
    <r>
      <rPr>
        <sz val="11"/>
        <color rgb="FFFF0000"/>
        <rFont val="Arial"/>
        <family val="2"/>
      </rPr>
      <t xml:space="preserve">
VANOS 1 y 2: Instalación de Vigas prefabricadas sobre apoyos de neopreno, construcción de Diafragmas, instalación de pre-losas, acero de refuerzo de las losas  y se funden. Se instala acero de refuerzo y encofrado New Jersey por ambos costados y se funden módulos. Se realizan acabados. Frente Inactivo.</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</si>
  <si>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INFRAESTRUCTURA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Excvavaciones y descabece de Pilotes. Instalación de solado, acero de refuerzo y encofrado de Viga cabezal y cuerpo del Estribo, se fundeViga cabezal. Encofrado tramo 1 del cuerpo del Estribo y se funde. Se instalan aisladores sísmicos para la Dovela sobre Estribo. Se instala acero de refuerzo Dovela sobre Estribo y se funde . se instalan ductos para cables de tensionamiento. Se funde tramo 1 muro epaldar y topes sísmicos.</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t>
    </r>
    <r>
      <rPr>
        <sz val="11"/>
        <rFont val="Arial"/>
        <family val="2"/>
      </rPr>
      <t>Se instalan seis (6)aisladores sísmicos sobre pedestales. Instalación de grouting. 
PILA 2: Se excava y se funde el núcleo de los Pilotes: 19, 20, 21, 22, 23, 24, 25, 26, 27, 28, 29, 30, 31, 32, 33 y  34 a h= promedio efectivo de 30,0m.  Se realizan prueba</t>
    </r>
    <r>
      <rPr>
        <sz val="11"/>
        <color theme="1"/>
        <rFont val="Arial"/>
        <family val="2"/>
      </rPr>
      <t>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rFont val="Arial"/>
        <family val="2"/>
      </rPr>
      <t xml:space="preserve">PILA 1: Instalación de plataforma para construcción de Dovela sobre Pila y Dovelas N°1. Se instala acero de refuerzo losa inferior, muros  y losa superior y se funde. </t>
    </r>
    <r>
      <rPr>
        <sz val="11"/>
        <color rgb="FFFF0000"/>
        <rFont val="Arial"/>
        <family val="2"/>
      </rPr>
      <t xml:space="preserve">
VOLADIZO 1: </t>
    </r>
    <r>
      <rPr>
        <sz val="11"/>
        <rFont val="Arial"/>
        <family val="2"/>
      </rPr>
      <t>A prtir del Estribo 1 se instala concreto de solado para construir a este nivel las dovelas 15, 14, 13, 12 y 11 del voladizo 1. Se instala acero de refuerzo de losa inferior y muros de estas Dovelas y se funde losa inferior y muros. Se instala plataforma y acero de refuerzo para losa superior y se funde Dovelas 15, 14, 13, 12 y 11. Se instalan andamios de carga y  plataforma  para Dovelas 2, 3, 4 y 5 en voladizo 1. Se instala acero de refuerzo losa inferior y muros y se funden losa inferior  y muros Instalación plataforma, acero de refuerzo de losa superior y se funden. Se instala plataforma , acero de refuerzo de losa inferior y muros Dovelas 6, 7 , 8, 9 y 10. Se funde losa inferior  y muros de estas Dovelas. Se instala plataforma y acero de refuerzo losa superior y se funden Dovelas 6, 7 y 8. Se instala plataforma, acero de refuerzo y ductos para losa superior Dovelas 9, 10 y 11 y se funden.</t>
    </r>
    <r>
      <rPr>
        <sz val="11"/>
        <color rgb="FFFF0000"/>
        <rFont val="Arial"/>
        <family val="2"/>
      </rPr>
      <t xml:space="preserve">
VOLADIZO 2: Se instala el carro de avance Dovela N°2., 3, 4, 5, 6, 7, 8 , 9 , 10 y 11; se instala acero de refuerzo, ductos y se funden. Se instalan cables y se tensionan. </t>
    </r>
    <r>
      <rPr>
        <u/>
        <sz val="11"/>
        <color theme="1"/>
        <rFont val="Arial"/>
        <family val="2"/>
      </rPr>
      <t xml:space="preserve">
</t>
    </r>
    <r>
      <rPr>
        <sz val="11"/>
        <color rgb="FFFF0000"/>
        <rFont val="Arial"/>
        <family val="2"/>
      </rPr>
      <t xml:space="preserve">PILA 2: </t>
    </r>
    <r>
      <rPr>
        <sz val="11"/>
        <rFont val="Arial"/>
        <family val="2"/>
      </rPr>
      <t xml:space="preserve"> Instalación plataforma, acero de refuerzo y encofrado Dovela sobre Pila y Dovelas N°1 voladizos 3 y 4, se funde losa inferior,  muros y losa superior.</t>
    </r>
    <r>
      <rPr>
        <sz val="11"/>
        <color rgb="FFFF0000"/>
        <rFont val="Arial"/>
        <family val="2"/>
      </rPr>
      <t xml:space="preserve">  
VOLADIZO 4:</t>
    </r>
    <r>
      <rPr>
        <sz val="11"/>
        <rFont val="Arial"/>
        <family val="2"/>
      </rPr>
      <t xml:space="preserve"> Instalación de material para conformación de terraplén. Se instala concreto de solado sobre el terraplén conformado. Se  instala acero de refuerzo de la losa inferior y muros Dovelas 2 , 3 , 4 y 5. Se funde losa inferior y muros. Se instala plataforma y acero de refuerzo para losa superior  de estas Dovelas y se funden. Se instalan andamios de carga y plataforma, acero de refuerzo losa inferior y muros construcción de Dovelas 6, 7 8 , 9, 10 y 11; y se funden para el voladizo 4. Se instala plataforma para losa superior , acero de refuerzo y ductos de estas Dovelas y se funden. Se continúa con Dovelas  12 y 13, se instala acero de refuerzo losa iferior, muros y losa superior y se funden. Se instala paltaforma , acero de refuerzo de la losa inferior, muros y losa superior de las Dovelas 14, 15 y 16 y se funden. Se instala plataforma, encofrado,  acero de refuerzo, losa de piso y muros Dovelas 17 y 18. Se funde losa inferior, muros y losa superior. Se instala acero de refuerzo Dovela sobre Pila 3, se funde primer alzado. Instalación acero de refuerzo y encofrado topes sísmicos Dovela sobre Pila 3.</t>
    </r>
    <r>
      <rPr>
        <sz val="11"/>
        <color rgb="FFFF0000"/>
        <rFont val="Arial"/>
        <family val="2"/>
      </rPr>
      <t xml:space="preserve">
VOLADIZO 3: Se realiza el montaje del carro de avance, se instala acero de refuerzo y se funden las Dovelas 2, 3, 4, 5,  6, 7,  8, 9, 10, 11 y 12;  se instalan ductos, cables y se tensionan los cables de estas Dovelas. Se desplaza carro de avance para Dovela N°13.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</si>
  <si>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t>
    </r>
    <r>
      <rPr>
        <sz val="11"/>
        <rFont val="Arial"/>
        <family val="2"/>
      </rPr>
      <t xml:space="preserve"> Instalación acero de refuerzo y encofrado tramo 5 Columna en H y se funde. Instalación andamios de carga, plataforma, acero de refuerzo y ductos para tensionamiento de cables Viga Cabezal</t>
    </r>
    <r>
      <rPr>
        <sz val="11"/>
        <color rgb="FFFF0000"/>
        <rFont val="Arial"/>
        <family val="2"/>
      </rPr>
      <t xml:space="preserve">. </t>
    </r>
    <r>
      <rPr>
        <sz val="11"/>
        <rFont val="Arial"/>
        <family val="2"/>
      </rPr>
      <t>Se funde Viga cabezal, pesetales y topes símicos. Se instalan cables y se tensionan.</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Instalación acero de refuerzo y encofrado 7to. tramo de Columna en H y se funde</t>
    </r>
    <r>
      <rPr>
        <sz val="11"/>
        <color rgb="FFFF0000"/>
        <rFont val="Arial"/>
        <family val="2"/>
      </rPr>
      <t>.</t>
    </r>
    <r>
      <rPr>
        <sz val="11"/>
        <rFont val="Arial"/>
        <family val="2"/>
      </rPr>
      <t xml:space="preserve"> Instalación andamios de carga y plataforma para construir Viga Cabezal. Se instala acero de refuerzo, encofrado y se funde Viga Cabezal, se instalan los torones y se tensionan</t>
    </r>
    <r>
      <rPr>
        <sz val="11"/>
        <color rgb="FFFF0000"/>
        <rFont val="Arial"/>
        <family val="2"/>
      </rPr>
      <t>. I</t>
    </r>
    <r>
      <rPr>
        <sz val="11"/>
        <rFont val="Arial"/>
        <family val="2"/>
      </rPr>
      <t>nstalación acero de refuerzo de topes sísmicos y pedestales y se funden para ambas calzadas.</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Se realiza la elevación del Caisson 29 a nivel de Viga Cabezal. Se instala acero de refuerzo ampliación Viga cabezal, perforando y anclando el acero inyectando producto Hilti. se realiza ensayo de tración. Encofrado ampliación Viga Cabezal y se funde. Instalación acero de refuerzo y encofrado de topes sísmicos y pedestales y se funden.</t>
    </r>
    <r>
      <rPr>
        <sz val="11"/>
        <color theme="1"/>
        <rFont val="Arial"/>
        <family val="2"/>
      </rPr>
      <t xml:space="preserve">
</t>
    </r>
    <r>
      <rPr>
        <sz val="11"/>
        <rFont val="Arial"/>
        <family val="2"/>
      </rPr>
      <t xml:space="preserve">ESTRIBO 2: Se funde el núcleo de los Caissons 30, 31 y 32. Se instala solado. </t>
    </r>
    <r>
      <rPr>
        <sz val="11"/>
        <color rgb="FFFF0000"/>
        <rFont val="Arial"/>
        <family val="2"/>
      </rPr>
      <t>Se instala acero de refuerzo y encofrado Viga Cabezal , topes sísmicos y pedestales y se funden para la calzada izquierda . Se instala acero de refuerzo y encofrado aletas, muro espaldar y se funden para la calzada izquierda. Se funde losa de aproximación para la calzada izquierda.</t>
    </r>
    <r>
      <rPr>
        <sz val="11"/>
        <rFont val="Arial"/>
        <family val="2"/>
      </rPr>
      <t xml:space="preserve">
</t>
    </r>
    <r>
      <rPr>
        <u/>
        <sz val="11"/>
        <rFont val="Arial"/>
        <family val="2"/>
      </rPr>
      <t xml:space="preserve">SUPERESTRUCTURA
</t>
    </r>
    <r>
      <rPr>
        <sz val="11"/>
        <rFont val="Arial"/>
        <family val="2"/>
      </rPr>
      <t xml:space="preserve">Instalación mortero de nivelación con Sika Grout sobre pedestales. Montaje del Equipo lanza-vigas.
VANOS 1 , 2, 3 ,4 y 5.  Instalación de Vigas prefabricadas sobre apoyos de neopreno en ambas calzadas, se funden Diafragmas, instalación de pre-losas, acero de refuerzo de las losas y se funden. Para el VANO 6 pra la calzada izquierda, se instalan vigas prefabricadas sobre apoyos de neopreno, se instalan pre-losas, acero de refuerzo de la losa y se funde; se construye Diafragma en el Estribo 2. </t>
    </r>
    <r>
      <rPr>
        <sz val="11"/>
        <color rgb="FFFF0000"/>
        <rFont val="Arial"/>
        <family val="2"/>
      </rPr>
      <t>Se instala plataforma y acero de refuerzo para voladizos vanos 1, 2 , 3, 4, 5 y 6 costado izquierdo y derecho; se funden para la calzada izquierda. En la calzada drecha se funden en vanos 1, 2, 3 y 4.  Se instala acero de refuerzo y encofrado para módulos de New Jersey en vanos 1, 2, 3 y 4  y se funden para ambas calzadas en vanos 1, 2 , 3 y  4.</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</si>
  <si>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dejó abandonadas las obras construidas en este sitio. Esta nueva obra la inicia 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t>
    </r>
    <r>
      <rPr>
        <sz val="11"/>
        <rFont val="Arial"/>
        <family val="2"/>
      </rPr>
      <t>Se instala acero de refuerzo y encofrado Viga Cabezal, topes sísmicos y pedestales y cuerpo del Estribo y se funde. Se instala acero de refuerzo para losa de aproximación y se funde.
PILA 1: Se instala acero de refuerzo de núcleo de Caisson 3 y  4 y  se funden. Se realiza elevación de columna 4 y se funde. Instalación de plataforma  y acero de refuerzo y encofrado Viga Cabezal, topes sísmicos y pedestales y se funden.</t>
    </r>
    <r>
      <rPr>
        <sz val="11"/>
        <color theme="1"/>
        <rFont val="Arial"/>
        <family val="2"/>
      </rPr>
      <t xml:space="preserve">
</t>
    </r>
    <r>
      <rPr>
        <sz val="11"/>
        <rFont val="Arial"/>
        <family val="2"/>
      </rPr>
      <t>PILA 2. Se instala acero de refuerzo de núcleo de los Caissons 5 y 6 y se funden.</t>
    </r>
    <r>
      <rPr>
        <sz val="11"/>
        <color rgb="FFFF0000"/>
        <rFont val="Arial"/>
        <family val="2"/>
      </rPr>
      <t xml:space="preserve"> </t>
    </r>
    <r>
      <rPr>
        <sz val="11"/>
        <rFont val="Arial"/>
        <family val="2"/>
      </rPr>
      <t>Se funde  elevación columna  5 y 6 a nivel de Viga cabezal. Se instala plataforma, acero de refuerzo  Viga Cabezal, topes sísmicos y pedestales y se funden.</t>
    </r>
    <r>
      <rPr>
        <sz val="11"/>
        <color rgb="FFFF0000"/>
        <rFont val="Arial"/>
        <family val="2"/>
      </rPr>
      <t xml:space="preserve">
</t>
    </r>
    <r>
      <rPr>
        <sz val="11"/>
        <rFont val="Arial"/>
        <family val="2"/>
      </rPr>
      <t>PILA 3. Instalación acero de refuerzo núcleo Caissons 7 y 8 y se funden. Adecuación área para Viga Cabezal. se funde solado. Se instala acero de refuerzo y encofrado Viga Cabezal, topes sísmicos y pedestales y se funden.
ESTRIBO 2. Instalación acero de refuerzo de núcleos de Caissons 9 y 10 y se funden. Instalación acero de refuerzo y encofrado Viga cabezal, topes sísmicos, pedestales y cuerpo del Estribo y se funden  con las aletas integradas. Instalación acero de refuerzo losa de aproximación y se funde.</t>
    </r>
    <r>
      <rPr>
        <sz val="11"/>
        <color rgb="FFFF0000"/>
        <rFont val="Arial"/>
        <family val="2"/>
      </rPr>
      <t xml:space="preserve">
</t>
    </r>
    <r>
      <rPr>
        <u/>
        <sz val="11"/>
        <rFont val="Arial"/>
        <family val="2"/>
      </rPr>
      <t xml:space="preserve">INFRAESTRUCTURA
</t>
    </r>
    <r>
      <rPr>
        <sz val="11"/>
        <rFont val="Arial"/>
        <family val="2"/>
      </rPr>
      <t>Instalación de mortero de nivelación con Sika Grout sobre pedestales. Montaje del equipo lanza vigas.</t>
    </r>
    <r>
      <rPr>
        <u/>
        <sz val="11"/>
        <rFont val="Arial"/>
        <family val="2"/>
      </rPr>
      <t xml:space="preserve">
</t>
    </r>
    <r>
      <rPr>
        <sz val="11"/>
        <rFont val="Arial"/>
        <family val="2"/>
      </rPr>
      <t xml:space="preserve">Vanos 1 y 2: </t>
    </r>
    <r>
      <rPr>
        <sz val="11"/>
        <color rgb="FFFF0000"/>
        <rFont val="Arial"/>
        <family val="2"/>
      </rPr>
      <t>Instalación de Vigas sobre apoyos de neopreno, construcción de diafragmas, instalación de pre-losas, acero de refuerzo de la losa y se funde.</t>
    </r>
    <r>
      <rPr>
        <sz val="11"/>
        <color theme="1"/>
        <rFont val="Arial"/>
        <family val="2"/>
      </rPr>
      <t xml:space="preserve">
Vano 3:</t>
    </r>
    <r>
      <rPr>
        <sz val="11"/>
        <color rgb="FFFF0000"/>
        <rFont val="Arial"/>
        <family val="2"/>
      </rPr>
      <t xml:space="preserve"> Instalación de Vigas sobre apoyos de neopreno, construcción de diafragmas.</t>
    </r>
  </si>
  <si>
    <r>
      <t xml:space="preserve">PUENTE PK9+400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10 de noviembre de 2020.
</t>
    </r>
    <r>
      <rPr>
        <u/>
        <sz val="11"/>
        <color rgb="FFFF0000"/>
        <rFont val="Arial"/>
        <family val="2"/>
      </rPr>
      <t>CONTROL DE EXCAVACIÓN</t>
    </r>
    <r>
      <rPr>
        <sz val="11"/>
        <color theme="1"/>
        <rFont val="Arial"/>
        <family val="2"/>
      </rPr>
      <t xml:space="preserve">
CALDADA IZQUIERDA:
ESTRIBO 1: Caisson 1 h=1m; Caisson 2 h=6,8m
PILA 1: Caisson 3 h=7m; Caisson 4 h=1m
 PILA 2. Caisson 5 h=13,3m; Caisson 6 h=17,7m 
                                         PILA 3. Caisson 7 h=21,1m;  Caisson 8 h=18,9m
                                        ESTRIBO 2.  Caisson 9 h=12,4m;  Caisson 10 h=12m
</t>
    </r>
    <r>
      <rPr>
        <u/>
        <sz val="11"/>
        <color rgb="FFFF0000"/>
        <rFont val="Arial"/>
        <family val="2"/>
      </rPr>
      <t xml:space="preserve">INFRAESTRUCTURA
</t>
    </r>
    <r>
      <rPr>
        <sz val="11"/>
        <rFont val="Arial"/>
        <family val="2"/>
      </rPr>
      <t xml:space="preserve">ESTRIBO 2: </t>
    </r>
    <r>
      <rPr>
        <sz val="11"/>
        <color rgb="FFFF0000"/>
        <rFont val="Arial"/>
        <family val="2"/>
      </rPr>
      <t xml:space="preserve">Instalación acero de refuerzo y se funden núcleos de Caissons 9 y 10. Se instala solado y acero de refuerzo Viga Cabezal, topes sísmicos y pedestales y se funden.
</t>
    </r>
    <r>
      <rPr>
        <sz val="11"/>
        <rFont val="Arial"/>
        <family val="2"/>
      </rPr>
      <t>PILA 3</t>
    </r>
    <r>
      <rPr>
        <sz val="11"/>
        <color rgb="FFFF0000"/>
        <rFont val="Arial"/>
        <family val="2"/>
      </rPr>
      <t xml:space="preserve">: Instalación acero de refuerzo núcleo del Caisson 7 y se funde.                                    </t>
    </r>
  </si>
  <si>
    <r>
      <t xml:space="preserve">PUENTE PK9+500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9 de noviembre de 2020.
</t>
    </r>
    <r>
      <rPr>
        <u/>
        <sz val="11"/>
        <color rgb="FFFF0000"/>
        <rFont val="Arial"/>
        <family val="2"/>
      </rPr>
      <t>CONTROL DE EXCAVACIÓN</t>
    </r>
    <r>
      <rPr>
        <sz val="11"/>
        <color theme="1"/>
        <rFont val="Arial"/>
        <family val="2"/>
      </rPr>
      <t xml:space="preserve">
CALDADA IZQUIERDA
ESTRIBO 1. Caisson 1  h=12m; Caisson 2  h=13m 
                                      PILA 1. Caisson 3  h=17m;  Caisson 4  h=17m
PILA 2: Caisson 5 h=2m
</t>
    </r>
    <r>
      <rPr>
        <u/>
        <sz val="11"/>
        <color rgb="FFFF0000"/>
        <rFont val="Arial"/>
        <family val="2"/>
      </rPr>
      <t xml:space="preserve">INFRAESTRUCTURA
</t>
    </r>
    <r>
      <rPr>
        <sz val="11"/>
        <rFont val="Arial"/>
        <family val="2"/>
      </rPr>
      <t>ESTRIBO 1:</t>
    </r>
    <r>
      <rPr>
        <sz val="11"/>
        <color rgb="FFFF0000"/>
        <rFont val="Arial"/>
        <family val="2"/>
      </rPr>
      <t xml:space="preserve"> Instalación acero de refuerzo núcleos Caisson 1 y 2 y se funden.</t>
    </r>
    <r>
      <rPr>
        <sz val="11"/>
        <color theme="1"/>
        <rFont val="Arial"/>
        <family val="2"/>
      </rPr>
      <t xml:space="preserve">                                     </t>
    </r>
  </si>
  <si>
    <r>
      <t xml:space="preserve">PUENTE PK9+800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12 de noviembre de 2020.
</t>
    </r>
    <r>
      <rPr>
        <u/>
        <sz val="11"/>
        <color rgb="FFFF0000"/>
        <rFont val="Arial"/>
        <family val="2"/>
      </rPr>
      <t>CONTROL DE EXCAVACIÓN</t>
    </r>
    <r>
      <rPr>
        <sz val="11"/>
        <color theme="1"/>
        <rFont val="Arial"/>
        <family val="2"/>
      </rPr>
      <t xml:space="preserve">
CALDADA IZQUIERDA
 PILA 1. Caisson 3   h=19,7m;  Caisson 4  h=11,2m 
</t>
    </r>
    <r>
      <rPr>
        <u/>
        <sz val="11"/>
        <color rgb="FFFF0000"/>
        <rFont val="Arial"/>
        <family val="2"/>
      </rPr>
      <t xml:space="preserve">INFRAESTRUCTURA
</t>
    </r>
    <r>
      <rPr>
        <sz val="11"/>
        <rFont val="Arial"/>
        <family val="2"/>
      </rPr>
      <t>ESRIBO 2:</t>
    </r>
    <r>
      <rPr>
        <sz val="11"/>
        <color rgb="FFFF0000"/>
        <rFont val="Arial"/>
        <family val="2"/>
      </rPr>
      <t>Adecuaciones para construcción de Estribo. Se funde solado.</t>
    </r>
  </si>
  <si>
    <r>
      <t xml:space="preserve">PUENTE PK9+900 UF1. </t>
    </r>
    <r>
      <rPr>
        <sz val="11"/>
        <color theme="1"/>
        <rFont val="Arial"/>
        <family val="2"/>
      </rPr>
      <t>El concesionario inicia con la construcción de caminos de acceso al sitio de las obras y replanteo topográfico de ubicación de caisson a partir de</t>
    </r>
    <r>
      <rPr>
        <sz val="11"/>
        <color rgb="FFFF0000"/>
        <rFont val="Arial"/>
        <family val="2"/>
      </rPr>
      <t xml:space="preserve">l 6 de noviembre de 2020.
</t>
    </r>
    <r>
      <rPr>
        <u/>
        <sz val="11"/>
        <color rgb="FFFF0000"/>
        <rFont val="Arial"/>
        <family val="2"/>
      </rPr>
      <t>CONTROL DE EXCAVACIÓN</t>
    </r>
    <r>
      <rPr>
        <sz val="11"/>
        <color theme="1"/>
        <rFont val="Arial"/>
        <family val="2"/>
      </rPr>
      <t xml:space="preserve">
CALDADA IZQUIERDA
 ESTRIBO 1. Caisson 1 h=15,5m; Caisson 2 h=15,5m 
                                ESTRIBO 2. Caisson 3  h=10,5m; Caisson 4  h=10,8m
</t>
    </r>
    <r>
      <rPr>
        <u/>
        <sz val="11"/>
        <color rgb="FFFF0000"/>
        <rFont val="Arial"/>
        <family val="2"/>
      </rPr>
      <t xml:space="preserve">INFRAESTRUCTURA
</t>
    </r>
    <r>
      <rPr>
        <sz val="11"/>
        <rFont val="Arial"/>
        <family val="2"/>
      </rPr>
      <t>ESTRIBO 1:</t>
    </r>
    <r>
      <rPr>
        <sz val="11"/>
        <color rgb="FFFF0000"/>
        <rFont val="Arial"/>
        <family val="2"/>
      </rPr>
      <t xml:space="preserve"> Se instala acero de refuerzo y se funde núcleos de Caissons 1 y  2 y se funden.
</t>
    </r>
    <r>
      <rPr>
        <sz val="11"/>
        <rFont val="Arial"/>
        <family val="2"/>
      </rPr>
      <t xml:space="preserve">ESTRIBO 2: </t>
    </r>
    <r>
      <rPr>
        <sz val="11"/>
        <color rgb="FFFF0000"/>
        <rFont val="Arial"/>
        <family val="2"/>
      </rPr>
      <t>Se instala acero de refuerzo y se funde el núcleo del Caisson 4.</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</si>
  <si>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97,0%
ESTRIBO 1.</t>
    </r>
    <r>
      <rPr>
        <sz val="11"/>
        <color rgb="FFFF0000"/>
        <rFont val="Arial"/>
        <family val="2"/>
      </rPr>
      <t xml:space="preserve"> </t>
    </r>
    <r>
      <rPr>
        <sz val="11"/>
        <rFont val="Arial"/>
        <family val="2"/>
      </rPr>
      <t>Corte mecánico adecuación área para construcción Estribo. Caisson 1 h=7,2m, Caisson2 h=5,5m
PILA 1: Caisson 3 h=17m, Caisson 4 h=22m
PILA 2: Caisson 5 h=12m, Caisson 6 h=13,3m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ESTRIBO 1: Se instala acero de refuerzo y se funden los núcleos de los Caissons 1 y 2. Se instala solado.</t>
    </r>
    <r>
      <rPr>
        <sz val="11"/>
        <color rgb="FFFF0000"/>
        <rFont val="Arial"/>
        <family val="2"/>
      </rPr>
      <t xml:space="preserve"> </t>
    </r>
    <r>
      <rPr>
        <sz val="11"/>
        <rFont val="Arial"/>
        <family val="2"/>
      </rPr>
      <t>Instalación acero de refuerzo y encofrado Viga Cabezal, topes sísmicos, pedestales, cuerpo del Estribo y se funden.</t>
    </r>
    <r>
      <rPr>
        <sz val="11"/>
        <color rgb="FFFF0000"/>
        <rFont val="Arial"/>
        <family val="2"/>
      </rPr>
      <t xml:space="preserve"> I</t>
    </r>
    <r>
      <rPr>
        <sz val="11"/>
        <rFont val="Arial"/>
        <family val="2"/>
      </rPr>
      <t>nstalación acero de refuerzo y encofrado aleta izquierda y derecha y se funden.</t>
    </r>
    <r>
      <rPr>
        <sz val="11"/>
        <color rgb="FFFF0000"/>
        <rFont val="Arial"/>
        <family val="2"/>
      </rPr>
      <t xml:space="preserve"> Construcción de muro en concreto reforzado complementario al Estribo costado derecho. Se funde zapata.
</t>
    </r>
    <r>
      <rPr>
        <sz val="11"/>
        <rFont val="Arial"/>
        <family val="2"/>
      </rPr>
      <t>PILA 1: Se funden núcleos de Caissons 3 y 4. Se instala acero de refuerzo y encofrado elevacion de Columnas a nivel de Viga cabezal y se funde</t>
    </r>
    <r>
      <rPr>
        <sz val="11"/>
        <color rgb="FFFF0000"/>
        <rFont val="Arial"/>
        <family val="2"/>
      </rPr>
      <t xml:space="preserve">. </t>
    </r>
    <r>
      <rPr>
        <sz val="11"/>
        <rFont val="Arial"/>
        <family val="2"/>
      </rPr>
      <t>Adecuación área para Viga Cabeza</t>
    </r>
    <r>
      <rPr>
        <sz val="11"/>
        <color rgb="FFFF0000"/>
        <rFont val="Arial"/>
        <family val="2"/>
      </rPr>
      <t>l. Instalación andamios de carga, plataforma, acero de refuerzo Viga Cabezal, topes sísmicos,  pedestales y se funden.</t>
    </r>
    <r>
      <rPr>
        <u/>
        <sz val="11"/>
        <rFont val="Arial"/>
        <family val="2"/>
      </rPr>
      <t xml:space="preserve">
</t>
    </r>
    <r>
      <rPr>
        <sz val="11"/>
        <rFont val="Arial"/>
        <family val="2"/>
      </rPr>
      <t>PILA 2:</t>
    </r>
    <r>
      <rPr>
        <sz val="11"/>
        <color rgb="FFFF0000"/>
        <rFont val="Arial"/>
        <family val="2"/>
      </rPr>
      <t xml:space="preserve"> </t>
    </r>
    <r>
      <rPr>
        <sz val="11"/>
        <rFont val="Arial"/>
        <family val="2"/>
      </rPr>
      <t>Se funde el núcleo de los Caissons 5 y 6. Instalación acero de refuerzo Columnas 5 y 6, se funden a nivel de Viga Cabezal.  Instalación de andamios de carga y plataforma , se instala acero de refuerzo Viga Cabezal y se funde con topes sísmicos y pedestales.</t>
    </r>
    <r>
      <rPr>
        <u/>
        <sz val="11"/>
        <rFont val="Arial"/>
        <family val="2"/>
      </rPr>
      <t xml:space="preserve">
</t>
    </r>
    <r>
      <rPr>
        <sz val="11"/>
        <rFont val="Arial"/>
        <family val="2"/>
      </rPr>
      <t>PILA 3: Se funde el núcleo de los Caissons 7 y 8 y la elevación de las columnas a nivel de la Viga cabezal. Instalación andamios de carga, plataforma y acero de refuerzo Viga cabezal,  se funde con topes sísmicos y pedestales.
PILA 4: Se funde el núcleo de los Caissons 9 y 10 y la Viga Cabezal con los topes sísmicos y los pedestales.
Se realiza demolición del cuerpo del Estribo 1 del puente PK21+840. Se funden pesestales.
ESTRIBO 2: Se construyen pedestales y topes sísmicos sobre área construida del Estribo 1 del Puente PK21+840.</t>
    </r>
    <r>
      <rPr>
        <sz val="11"/>
        <color theme="1"/>
        <rFont val="Arial"/>
        <family val="2"/>
      </rPr>
      <t/>
    </r>
  </si>
  <si>
    <r>
      <rPr>
        <b/>
        <sz val="11"/>
        <color theme="1"/>
        <rFont val="Arial"/>
        <family val="2"/>
      </rPr>
      <t xml:space="preserve">AMPLIACIÓN PUENTE N°2 QUEBRADA LA VOLCANA . </t>
    </r>
    <r>
      <rPr>
        <b/>
        <sz val="11"/>
        <rFont val="Arial"/>
        <family val="2"/>
      </rPr>
      <t>PK2+100 UF1.</t>
    </r>
    <r>
      <rPr>
        <sz val="11"/>
        <rFont val="Arial"/>
        <family val="2"/>
      </rPr>
      <t xml:space="preserve">  El concesionario inicia actividades el 3 de noviembre de 2020.  Este Puente está conformado por 3 luces en Vigas postensada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theme="1"/>
        <rFont val="Arial"/>
        <family val="2"/>
      </rPr>
      <t xml:space="preserve">
</t>
    </r>
    <r>
      <rPr>
        <sz val="11"/>
        <color rgb="FFFF0000"/>
        <rFont val="Arial"/>
        <family val="2"/>
      </rPr>
      <t>Se realiza retiro de carpeta asfáltica existente mediante fresado. Perforaciones a la losa existente con saca núcleos y cortes en la losa de aproximadamente 1,80X3,50 m  para retiro del tablero y los New Jersey existentente.  Se realiza demolición y retiro de defensas  tipo New Jersey por ambos costados y retiro de tablero en vanos 1, 2 y 3. Demolición de tablero sobre vigas. Instalación acero de refuerzo y encofrado para construcción muro de acompañamiento al Estribo 1 costado derecho acceso a Palmitas y se funde. Instalación de plataforma para voladizos, matal deck y acero de refuerzo  en losas  vanos 1 y 3 y se funden.</t>
    </r>
  </si>
  <si>
    <t>Puente PK 4+500 UF 1.  Vista panorámica desde PK menores.</t>
  </si>
  <si>
    <t>Puente PK 4+500 UF 1. PILA 1. Retiro de plataforma y cimbra.</t>
  </si>
  <si>
    <t>Puente PK 6+240 UF 1- ESTRIBO 1. Instalación de cimbra y platafoma.</t>
  </si>
  <si>
    <t>Puente PK 6+240 UF 1- Vista panorámica desde PK menores.</t>
  </si>
  <si>
    <t>Puente PK 6+900 UF 1- Vista panorámica desde PK mayores.</t>
  </si>
  <si>
    <t>Puente PK 6+900 UF 1.  Vista Voladizos 2 y 3.</t>
  </si>
  <si>
    <t>Puente PK 8+800 UF 1- Se funden módulos de New Jersey costado derecho, calzada izquierda.</t>
  </si>
  <si>
    <t>Puente PK 8+800 UF 1- Acabados módulos de New Jersey costado izquierdo, calzada izquierda.</t>
  </si>
  <si>
    <t>Puente PK 9+150 UF 1- Vista panorámica desde PK menores.</t>
  </si>
  <si>
    <t>Puente PK 9+150 UF 1-  Instalación acero de refuerzo y encofrado diafragma pila 3- vano 4.</t>
  </si>
  <si>
    <t>Puente PK 9+400 UF 1-  Vista panorámica estribo 1 y pila 1.</t>
  </si>
  <si>
    <t>Puente PK 9+400 UF 1-  Vista panorámica desde PK mayores.</t>
  </si>
  <si>
    <t>Puente PK 9+500 UF 1-   Vista panorámica desde PK menores.</t>
  </si>
  <si>
    <t>Puente PK 9+500 UF 1-  PILA 2.  Caisson 5, inactivo.</t>
  </si>
  <si>
    <t>Puente PK 9+800 UF 1-  ESTRIBO 2. Adecuación de area para construcción de Estribo.</t>
  </si>
  <si>
    <t>Puente PK 9+800 UF 1-   Vista panorámica desde PK mayores.</t>
  </si>
  <si>
    <t>Puente PK 9+900 UF 1- Vista panorámica desde PK mayores.</t>
  </si>
  <si>
    <t>Puente PK 9+900 UF 1-   ESTRIBO 2. Inactivo</t>
  </si>
  <si>
    <t>Puente PK 11+110 UF 1- Acopio de Vigas en el Estribo 2..</t>
  </si>
  <si>
    <t>Puente PK 11+110 UF 1-  Vista panorámica desde PK menores.</t>
  </si>
  <si>
    <t>Puente PK 18+293 UF2.1.  Instalación acero de refuerzo voladizo, costado derecho.</t>
  </si>
  <si>
    <t>Puente PK 18+293 UF 2.1- Retiro de plataforma voladizo, costado izquierdo.</t>
  </si>
  <si>
    <t>Puente PK 20+380 UF2.1. - Vista panorámica desde PK menores.</t>
  </si>
  <si>
    <t>Puente PK 20+380 UF2.1. Frente Inactivo.</t>
  </si>
  <si>
    <t xml:space="preserve">Puente PK21+700 UF2.1.   Vista panorámica desde PK mayores. </t>
  </si>
  <si>
    <t xml:space="preserve">Puente PK21+700 UF2.1.   Vista panorámica desde PK menores. </t>
  </si>
  <si>
    <t>Puente PK 33+100 UF 2.1 - TRAMO 1 VOLADIZOS-   Voladizo 1, Lado Medellín. INACTIVO</t>
  </si>
  <si>
    <t>Puente PK 33+100 UF 2.1 - TRAMO 1 VOLADIZOS-  Voladizo 2 y 3, Lado Santafe. INACTIVO</t>
  </si>
  <si>
    <t>Puente PK 33+100 UF 2.1 TRAMO2 - VIGAS- .PILA 3. Desencofrado y acabados topes sísmicos  DSP , Lado SantaFe. Inactivo</t>
  </si>
  <si>
    <t>Puente PK 33+100 UF 2.1 TRAMO2 - VIGAS- Vista panorámica construcción Puente. Inactivo</t>
  </si>
  <si>
    <t>Ampliación Puente N°1PK0+110 UF1 Quebrada La Negra. Adecuación de area para aplicación de pintura baranda vehicular, costado derecho.</t>
  </si>
  <si>
    <t>Ampliación Puente N°1PK0+110 UF1 Quebrada La Negra. Vista panorámica, desde PK menores.</t>
  </si>
  <si>
    <t>Ampliación Puente N°4 PK2+600 UF1 Quebrada La Nuez. Vista panorámica, desde PK menores.</t>
  </si>
  <si>
    <t>Ampliación Puente N°4 PK2+600 UF1 Quebrada La Nuez.  Instalación de parales costado derecho.</t>
  </si>
  <si>
    <t>Ampliación Puente N°11 PK8+790 UF1 Quebrada La Roncha. Losa vano 1 fundida. Inactivo</t>
  </si>
  <si>
    <t>Ampliación Puente N°11 PK8+790 UF1 Quebrada La Roncha.  Losas vanos 1 y 2  fundidas. Inactivo</t>
  </si>
  <si>
    <t>Ampliación Puente N°9 PK7+960 UF1  San Gregorio. Demolición de tablero sobre Vigas vano 1. Inactivo</t>
  </si>
  <si>
    <t>Ampliación Puente N°9 PK7+960 UF1  San Gregorio.  Limpieza por demolición de tablero , vano 1. Inactivo.</t>
  </si>
  <si>
    <t>Ampliación Puente N°2 PK2+100 UF1  La Volcana. Vista panorámica, desde PK menores.</t>
  </si>
  <si>
    <t>Ampliación Puente N°2 PK2+100 UF1  La Volcana.  Se funde realce de vigas, vano 2.</t>
  </si>
  <si>
    <t>Ampliación Puente N°25 PK19+420 UF2.1  El Sable.   Finaliza retiro de secciones de losa y New Jersey en vanos 1 y 2. Inactivo.</t>
  </si>
  <si>
    <t>Seguimiento Fichas: 
UF1y 3: PMF-01, PMF-02, PMF-05 y PMF-09.
UF 2.1: PMF-16.
OyM: PAC-2,4-07, DAGA-1.2-02 y 1.1-01.</t>
  </si>
  <si>
    <t>Del 23-12-20 al 29-12-20</t>
  </si>
  <si>
    <t>Recopilación de información y envió a la ANI de correo con informe de contextualización del proceso sancionatorio de la ANLA relacionado con el inicio de actividades de excavación del Túnel sin previa aprobación por parte de la Autoridad del Modelo Hidrogeológico numerico y conceptual.</t>
  </si>
  <si>
    <t>Actualización y envió a la ANI del cuadro de indicadores de gestión, en respuesta a la solicitud realizada por la entidad vía correo electrónico el 22-12-20</t>
  </si>
  <si>
    <t>4</t>
  </si>
  <si>
    <t>Recorrido conjunto Concesionario - Interventorpia, seguimiento ejecución medids de compensación y rehabilitación ecológica ejecutadas por el Concesionario en la Hacienda curmue para las obligaciones exigidas en las Resoluciones MADS 1244, Corantioquia 4266, 4319, 6262 y 3088.</t>
  </si>
  <si>
    <t>DEVIMAR, ÉPSILON4G</t>
  </si>
  <si>
    <t>Revisión, ajuste y envió informe mensual #62 conforme las observaciones de la ANI realizado con comunicado ANI 2020-500-039134-1</t>
  </si>
  <si>
    <t>del 23-12-20 al 28-12-20</t>
  </si>
  <si>
    <t>Elaboración informe semanal 272 y diligenciamiento Formato R-CEC-22 "Registro fotográfico"</t>
  </si>
  <si>
    <r>
      <t xml:space="preserve">1. ÁREA AMBIENTAL:
CONCLUSIONES:
</t>
    </r>
    <r>
      <rPr>
        <sz val="11"/>
        <color theme="1"/>
        <rFont val="Arial"/>
        <family val="2"/>
      </rPr>
      <t xml:space="preserve">
Según el flujo de caja recibido en el periodo de diciembre se confirma que en el periodo de noviembre el Concesionario afecto la subcuenta abiental.</t>
    </r>
    <r>
      <rPr>
        <b/>
        <sz val="11"/>
        <color theme="1"/>
        <rFont val="Arial"/>
        <family val="2"/>
      </rPr>
      <t xml:space="preserve">
 RECOMENDACIONES
</t>
    </r>
    <r>
      <rPr>
        <sz val="11"/>
        <color theme="1"/>
        <rFont val="Arial"/>
        <family val="2"/>
      </rPr>
      <t xml:space="preserve">• A la ANI apoyar la gestión ante ANLA para vanzar en la aprobación de los plande de rehabilitacion ecológica y ante al MADS para que finalice el traslado de los expedientes de veda nacional, ante las autoridades competentes.
• A la ANI apoyar la Gestión ante el Municipio de Medellín para la viabilizarían de adquisición y posterior entrega del predio el Boquerón.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</si>
  <si>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t xml:space="preserve">1. Construcción UF 2.1-Fuente de materiales la seca
PMF-16 </t>
    </r>
    <r>
      <rPr>
        <sz val="11"/>
        <color theme="1"/>
        <rFont val="Calibri"/>
        <family val="2"/>
        <scheme val="minor"/>
      </rPr>
      <t>El Concesionario realiza Humectaciones contínuas a lo largo de la vía de acceso a la fuente de materiales.</t>
    </r>
  </si>
  <si>
    <r>
      <t xml:space="preserve">2. Operación y mantenimiento UF 2.1 PK 19+000
PAC-2.4-07 Manejo y disposición final de sobrantes:  </t>
    </r>
    <r>
      <rPr>
        <sz val="11"/>
        <color theme="1"/>
        <rFont val="Calibri"/>
        <family val="2"/>
        <scheme val="minor"/>
      </rPr>
      <t>El concesionario realiza la recolección de materiales producto de derrumbes y posterior limpieza de cunetas y obras transversales, todo el material es acopiado lejos de cauces naturales hasta alcanzar volumen considerables para ser  transportado hasta la ZODME autorizada Luis Fernando Molina.</t>
    </r>
  </si>
  <si>
    <r>
      <t xml:space="preserve">3.Construcción UF 1 ZODME La Cueva
PMF 02. Empradización y revegetalización: </t>
    </r>
    <r>
      <rPr>
        <sz val="11"/>
        <color theme="1"/>
        <rFont val="Calibri"/>
        <family val="2"/>
        <scheme val="minor"/>
      </rPr>
      <t>Se observa un proceso de revegetalización y empradización parcial en la ZODME.</t>
    </r>
  </si>
  <si>
    <r>
      <t xml:space="preserve">4. Construcción UF 1 ZODME Guacamayas y la Cueva
PMF 02. Monitoreo topográfico: </t>
    </r>
    <r>
      <rPr>
        <sz val="11"/>
        <color theme="1"/>
        <rFont val="Calibri"/>
        <family val="2"/>
        <scheme val="minor"/>
      </rPr>
      <t>El Concesionario realiza  actividades de monitoreo de asentamiento topográfico.</t>
    </r>
  </si>
  <si>
    <r>
      <t xml:space="preserve">5. Construcción UF 1 ZODME GUACAMAYAS 
PMF 02. Manejo de aguas de escorrentía superficial y subsuperficial: </t>
    </r>
    <r>
      <rPr>
        <sz val="11"/>
        <color theme="1"/>
        <rFont val="Calibri"/>
        <family val="2"/>
        <scheme val="minor"/>
      </rPr>
      <t>el Concesionario avanza en la construcción de rondas de coronación y canales perimetrales en los taludes que conforman la ZODME.</t>
    </r>
  </si>
  <si>
    <r>
      <t xml:space="preserve">6. Construcción UF 1 ZODME Guacamayas y la Cueva
PMF 02. Manejo de aguas de escorrentía superficial y subsuperficial: </t>
    </r>
    <r>
      <rPr>
        <sz val="11"/>
        <color theme="1"/>
        <rFont val="Calibri"/>
        <family val="2"/>
        <scheme val="minor"/>
      </rPr>
      <t>El ZOMDE cuenta con canales perimetrales con disipadores de energía.</t>
    </r>
  </si>
  <si>
    <r>
      <t>7.Construcción UF 1 ZODME 10B
PMF 02. :</t>
    </r>
    <r>
      <rPr>
        <sz val="11"/>
        <color theme="1"/>
        <rFont val="Calibri"/>
        <family val="2"/>
        <scheme val="minor"/>
      </rPr>
      <t xml:space="preserve"> </t>
    </r>
    <r>
      <rPr>
        <b/>
        <sz val="11"/>
        <color theme="1"/>
        <rFont val="Calibri"/>
        <family val="2"/>
        <scheme val="minor"/>
      </rPr>
      <t>Monitoreo topográfico:</t>
    </r>
    <r>
      <rPr>
        <sz val="11"/>
        <color theme="1"/>
        <rFont val="Calibri"/>
        <family val="2"/>
        <scheme val="minor"/>
      </rPr>
      <t xml:space="preserve"> El Concesionario realiza  actividades de monitoreo de asentamiento topográfico.
</t>
    </r>
    <r>
      <rPr>
        <b/>
        <sz val="11"/>
        <color theme="1"/>
        <rFont val="Calibri"/>
        <family val="2"/>
        <scheme val="minor"/>
      </rPr>
      <t xml:space="preserve"> Empradización y revegetalización:</t>
    </r>
    <r>
      <rPr>
        <sz val="11"/>
        <color theme="1"/>
        <rFont val="Calibri"/>
        <family val="2"/>
        <scheme val="minor"/>
      </rPr>
      <t xml:space="preserve"> Se observa un proceso de revegetalización y empradización completo en la ZODME.
</t>
    </r>
  </si>
  <si>
    <r>
      <t xml:space="preserve">8.Construcción UF 1 ZODME 10A
PMF 02.  Empradización y revegetalización: </t>
    </r>
    <r>
      <rPr>
        <sz val="11"/>
        <color theme="1"/>
        <rFont val="Calibri"/>
        <family val="2"/>
        <scheme val="minor"/>
      </rPr>
      <t>Se observa un proceso de revegetalización y empradización completo en la ZODME.</t>
    </r>
  </si>
  <si>
    <r>
      <t xml:space="preserve">9.Construcción UF 1 ZODME 8
PMF 02. : Monitoreo topográfico: </t>
    </r>
    <r>
      <rPr>
        <sz val="11"/>
        <color theme="1"/>
        <rFont val="Calibri"/>
        <family val="2"/>
        <scheme val="minor"/>
      </rPr>
      <t>El Concesionario realiza  actividades de monitoreo de asentamiento topográfico.</t>
    </r>
    <r>
      <rPr>
        <b/>
        <sz val="11"/>
        <color theme="1"/>
        <rFont val="Calibri"/>
        <family val="2"/>
        <scheme val="minor"/>
      </rPr>
      <t xml:space="preserve">
 Empradización y revegetalización: </t>
    </r>
    <r>
      <rPr>
        <sz val="11"/>
        <color theme="1"/>
        <rFont val="Calibri"/>
        <family val="2"/>
        <scheme val="minor"/>
      </rPr>
      <t>Se observa un proceso de revegetalización y empradización parcial en la ZODME.</t>
    </r>
  </si>
  <si>
    <r>
      <t xml:space="preserve">10. Construcción UF 1 PK11+800 CI
PMF 02 Reutilización de los materiales de excavación: </t>
    </r>
    <r>
      <rPr>
        <sz val="11"/>
        <color theme="1"/>
        <rFont val="Calibri"/>
        <family val="2"/>
        <scheme val="minor"/>
      </rPr>
      <t>Debido a las características del material de excavación, este fue reutilizado en las actividades constructivas de obras</t>
    </r>
    <r>
      <rPr>
        <b/>
        <sz val="11"/>
        <color theme="1"/>
        <rFont val="Calibri"/>
        <family val="2"/>
        <scheme val="minor"/>
      </rPr>
      <t>.</t>
    </r>
  </si>
  <si>
    <r>
      <t>11.Construcción UF1 PK 12+860 CI SECTOR LAS GRUTAS</t>
    </r>
    <r>
      <rPr>
        <sz val="11"/>
        <color theme="1"/>
        <rFont val="Calibri"/>
        <family val="2"/>
        <scheme val="minor"/>
      </rPr>
      <t>.</t>
    </r>
    <r>
      <rPr>
        <b/>
        <sz val="11"/>
        <color theme="1"/>
        <rFont val="Calibri"/>
        <family val="2"/>
        <scheme val="minor"/>
      </rPr>
      <t xml:space="preserve">
PMF-01 Implementación obras de protección de taludes: </t>
    </r>
    <r>
      <rPr>
        <sz val="11"/>
        <color theme="1"/>
        <rFont val="Calibri"/>
        <family val="2"/>
        <scheme val="minor"/>
      </rPr>
      <t>El Concesionario realizó las actividades de estabilización del talud con concreto lanzado soportado en malla electrosoldada, además de la instalación de pernos.</t>
    </r>
    <r>
      <rPr>
        <b/>
        <sz val="11"/>
        <color theme="1"/>
        <rFont val="Calibri"/>
        <family val="2"/>
        <scheme val="minor"/>
      </rPr>
      <t xml:space="preserve">
Implementación obras de control de escorrentía:  </t>
    </r>
    <r>
      <rPr>
        <sz val="11"/>
        <color theme="1"/>
        <rFont val="Calibri"/>
        <family val="2"/>
        <scheme val="minor"/>
      </rPr>
      <t>el Concesionario realizó la instalación de drenes horizontales</t>
    </r>
  </si>
  <si>
    <r>
      <t xml:space="preserve">12.Construcción UF1 PK 12+860 CI (imagen superior) PK 9+100CI (Imagen inferior).
PMF-01 El </t>
    </r>
    <r>
      <rPr>
        <sz val="11"/>
        <color theme="1"/>
        <rFont val="Calibri"/>
        <family val="2"/>
        <scheme val="minor"/>
      </rPr>
      <t>Concesionario avanza en actividades de intervención de nuevos taludes</t>
    </r>
  </si>
  <si>
    <r>
      <t xml:space="preserve">13. Construcción UF 1 PK 17+450
PMF-01 Implementación obras de protección de taludes: </t>
    </r>
    <r>
      <rPr>
        <sz val="11"/>
        <color theme="1"/>
        <rFont val="Calibri"/>
        <family val="2"/>
        <scheme val="minor"/>
      </rPr>
      <t>El Concesionario realizó las actividades de estabilización del talud con concreto lanzado soportado en malla electrosoldada, además de la instalación de pernos</t>
    </r>
    <r>
      <rPr>
        <b/>
        <sz val="11"/>
        <color theme="1"/>
        <rFont val="Calibri"/>
        <family val="2"/>
        <scheme val="minor"/>
      </rPr>
      <t xml:space="preserve">.
Implementación obras de control de escorrentía:  </t>
    </r>
    <r>
      <rPr>
        <sz val="11"/>
        <color theme="1"/>
        <rFont val="Calibri"/>
        <family val="2"/>
        <scheme val="minor"/>
      </rPr>
      <t>el Concesionario realizó la instalación de drenes horizontales</t>
    </r>
  </si>
  <si>
    <r>
      <t xml:space="preserve">14. Construcción UF 1 PK 12+800 Acceso a las grutas
PMF 09 </t>
    </r>
    <r>
      <rPr>
        <sz val="11"/>
        <color theme="1"/>
        <rFont val="Calibri"/>
        <family val="2"/>
        <scheme val="minor"/>
      </rPr>
      <t>Manejo de residuos líquidos, domésticos e industriales:
Todos los frentes cuenta con baños portátiles de acuerdo al N.º de operarios( 1 baño por cada 15 operarios) y divididos por genero.
-Se realizan mantenimientos a los baños portátiles de forma semanal, estos mantenimientos son realizados por la empresa STAP.</t>
    </r>
  </si>
  <si>
    <r>
      <t xml:space="preserve">15. Construcción UF2.1  PK 21+500
PMF-05: </t>
    </r>
    <r>
      <rPr>
        <sz val="11"/>
        <color theme="1"/>
        <rFont val="Calibri"/>
        <family val="2"/>
        <scheme val="minor"/>
      </rPr>
      <t>El concesionario realiza el mantenimiento de los vehículos y maquinaria a través de carro talleres, los cuales hacen recorrido en los diferentes frentes de obra llevando a cabo la ejecución de todas las medidas de manejo para el control de derrames y disposición final de residuos peligrosos.</t>
    </r>
  </si>
  <si>
    <r>
      <t xml:space="preserve">16.  Operación y Mantenimiento UF3
 DAGA-1.2-02 y DAGA-1.1-01: </t>
    </r>
    <r>
      <rPr>
        <sz val="11"/>
        <color theme="1"/>
        <rFont val="Calibri"/>
        <family val="2"/>
        <scheme val="minor"/>
      </rPr>
      <t>El Concesionario realiza la a través de su grupo de gestión ambiental realiza la capacitación de personal en obra, los temas tratados se relacionan con el manejo de residuos y cuidado del recurso hídrico.</t>
    </r>
  </si>
  <si>
    <r>
      <t xml:space="preserve">16. Compensaciones abientales y rehabilitación ecológica. </t>
    </r>
    <r>
      <rPr>
        <sz val="11"/>
        <color theme="1"/>
        <rFont val="Calibri"/>
        <family val="2"/>
        <scheme val="minor"/>
      </rPr>
      <t>Se verificó la ejecución de actividades de mantenimiento ejecuctadas por el Concesionario en la H. curume asociada al cumplimiento de las obligaciones de compensación y rehabilitación ecológica exigidas en las Resoluciones MADS 1244, Corantioquia 4266, 4319, 6262 y 3088.</t>
    </r>
  </si>
  <si>
    <t>Del 24/12/20
al 30/12/20</t>
  </si>
  <si>
    <t>Reunión virtual de la mesa de concertación de San Sebastián de Palmitas, socialización de gestiones adelantadas.</t>
  </si>
  <si>
    <t>Programa 5. Apoyo a la capacidad de gestión institucional</t>
  </si>
  <si>
    <t>Seguimiento a las liberaciones de las fajas de retiro y ocupaciones irregulares en espacio publico del proyecto.</t>
  </si>
  <si>
    <t>Programa 8. Cultura Vial</t>
  </si>
  <si>
    <t>Jornada de sensibilización a los usuarios de la via en alianza con secretaria de movilidad y transporte de Medellín.</t>
  </si>
  <si>
    <t>Lugar: Túnel portal Medellín, campaña de sensibilización a los usuarios de la vía en alianza con la Secretaría de Movilidad de Medellín y Policía de Tránsito y Transporte .</t>
  </si>
  <si>
    <t>Lugar: Virtual, Reunión de la mesa de concertación de Palmitas, socialización de gestiones adelantadas.</t>
  </si>
  <si>
    <t>Lugar: Oficina fija de atención al usuario, seguimiento a liberación de las fajas de retiro y espacio público del proyecto.</t>
  </si>
  <si>
    <t>Lugar: Santa Fe de Antioquia, seguimiento oficina fija de atención al usuario.</t>
  </si>
  <si>
    <t>Lugar: Santa Fe de Antioquia, Seguimiento a las PQRS del proyecto.</t>
  </si>
  <si>
    <t>Durante la presente semana se reciben los reportes de las operadoras con respecto a los incidentes y accidentes ocurridos en las unidades funcionales del proyecto. Se presentaron catorce (14) accidentes con trece (13) lesionados y un (0) fallecido.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y los nichos de auxilio del Túnel de Occidente .
- Se realiza inspección del poste S.O.S. de la UF4 encontrándose en funcionamiento.</t>
  </si>
  <si>
    <r>
      <rPr>
        <b/>
        <sz val="11"/>
        <rFont val="Arial"/>
        <family val="2"/>
      </rPr>
      <t>Ruta 6204 San Jerónimo - Túnel de Occidente</t>
    </r>
    <r>
      <rPr>
        <sz val="11"/>
        <rFont val="Arial"/>
        <family val="2"/>
      </rPr>
      <t xml:space="preserve">
- Actividades de rocería del PR30+000 al PR35+000. 
- Actividades de limpieza de cunetas del PR31+000 al PR35+000. 
- Desvío en el PR20+200 al PR20+900 se encuentran transitables.
- Desvío en el PR22+200 al PR23+900 se encuentran transitables.
- Desvío en el PR24+400 al PR 25+500 se encuentran transitables.
- Desvío en el PR30+800 al PR32+200 se encuentran transitables.
- Desvío en el PR35+300 al PR39+000 se encuentran transitables.
- Zona Inestable PR34+900 se presenta estable.
- Se realiza control vehicular PR25+900, PR26+900, PR27+900, PR30+100 y PR35+200.</t>
    </r>
  </si>
  <si>
    <r>
      <rPr>
        <b/>
        <sz val="11"/>
        <rFont val="Arial"/>
        <family val="2"/>
      </rPr>
      <t xml:space="preserve">Ruta 6204  Santa Fe de Antioquia - San Jerónimo
</t>
    </r>
    <r>
      <rPr>
        <sz val="11"/>
        <rFont val="Arial"/>
        <family val="2"/>
      </rPr>
      <t xml:space="preserve">
-  Actividades de limpieza de cunetas PR18+000 al PR20+200.
-  Actividades de rocería PR13+000 al PR20+200.
-  Actividades de limpieza de obras transversales.
-  La vía se encuentra en funcionamiento Normal.
-  Desvío en el PR08+200 al PR08+800. Normal Funcionamiento.
-  Desvío en el PR10+300 al PR11+000. Normal Funcionamiento.
-  Desvío en el PR12+000 al PR13+100. Normal Funcionamiento.
-  Desvío en el PR15+000 al PR15+800. Normal Funcionamiento.
-  Desvío en el PR16+080 al PR17+900. Normal Funcionamiento.
-  Desvío en el PR18+700 al PR19+900. Normal Funcionamiento.</t>
    </r>
  </si>
  <si>
    <r>
      <rPr>
        <b/>
        <sz val="11"/>
        <rFont val="Arial"/>
        <family val="2"/>
      </rPr>
      <t>Ruta 6203 Cañasgordas-Santa Fe de Antioquia.</t>
    </r>
    <r>
      <rPr>
        <sz val="11"/>
        <rFont val="Arial"/>
        <family val="2"/>
      </rPr>
      <t xml:space="preserve">
-  Actividades de Rocería del PR65+000 al PR68+000 y PR108+000 al PR111+500 IZQ y DER
-  Limpieza de Cunetas y Calzada.
-  Limpieza de derrumbes menores.
-  Actividades de control de Policía de Carreteras PR114+900.
-  Zona Inestable del PR97+500 se cuenta estable.
-  La Vía se Encuentra Transitable.</t>
    </r>
  </si>
  <si>
    <r>
      <rPr>
        <b/>
        <sz val="11"/>
        <rFont val="Arial"/>
        <family val="2"/>
      </rPr>
      <t xml:space="preserve">Ruta 25B02 Bolombolo-Santa Fe de Antioquia.
</t>
    </r>
    <r>
      <rPr>
        <sz val="11"/>
        <rFont val="Arial"/>
        <family val="2"/>
      </rPr>
      <t xml:space="preserve">
- La Vía se encuentra en Operación Normal.
- Limpieza de Cunetas y Calzada.
- Ambulancia y Grúa Disponibles en  Anzá PR44+900.
</t>
    </r>
    <r>
      <rPr>
        <sz val="11"/>
        <color theme="1"/>
        <rFont val="Arial"/>
        <family val="2"/>
      </rPr>
      <t xml:space="preserve">- Se realizan labores de rocería PR14+000-PR18+000 y PR61+000-PR62+000.
- Se realiza retiro de derrumbes menores sobre cuneta.
</t>
    </r>
    <r>
      <rPr>
        <b/>
        <sz val="11"/>
        <color theme="1"/>
        <rFont val="Arial"/>
        <family val="2"/>
      </rPr>
      <t xml:space="preserve">Ruta 6003 Peñalisa-Bolombolo.
</t>
    </r>
    <r>
      <rPr>
        <sz val="11"/>
        <color theme="1"/>
        <rFont val="Arial"/>
        <family val="2"/>
      </rPr>
      <t>- Policía de transito en el PR 44+500. Puesto de control.
- La Vía se encuentra en Operación Normal.</t>
    </r>
  </si>
  <si>
    <t>Actividades de Operación ejecutadas en la Fase de Construcción
Semana 272</t>
  </si>
  <si>
    <t xml:space="preserve">UF 4 Ruta 6003 - PR47+000 - INSPECCIÓN POSTES S.O.S </t>
  </si>
  <si>
    <t>UF 4 Ruta 25B02 - PR45+400 - RECOLECCIÓN DE BASURA.</t>
  </si>
  <si>
    <t>UF 4 Ruta 25B02 - PR71+500 - OPERADORAS CCO SANTA FE DE ANTIOQUIA</t>
  </si>
  <si>
    <t>UF2.2 PR67+000 ROCERÍA</t>
  </si>
  <si>
    <t>UF2.2 PR99+500  REPARCHEO DE BACHES MEZCLA EN FRIO</t>
  </si>
  <si>
    <t>UF2.1 PR15+100 INSTALACIÓN DE ALINEADORES MARGEN IZQ.</t>
  </si>
  <si>
    <t>UF2.1 PR 18+800 CONTROL VEHICULAR.</t>
  </si>
  <si>
    <t>UF1 PR39+100 ASISTENCIA DE GRÚA</t>
  </si>
  <si>
    <t>UF1 PR32+400 LIMPIEZA DE VÍA</t>
  </si>
  <si>
    <t>UF3 PR 45+200. PEAJE EN OPERACIÓN.</t>
  </si>
  <si>
    <t>UF3 PR 45+300. CURSO SENSIBILIZACIÓN VIAL DEVIMAR-TRANSITO MEDELLÍN Y POLCA</t>
  </si>
  <si>
    <t>24/12/2020-30/12/2020</t>
  </si>
  <si>
    <t>REMISORIO 469 RESPUESTA DEL CONCESIONARIO 02-01-20201222003911 A DERECHO DE PETICIÓN DE LA SEÑORA OLGA SERNA UF2_124.</t>
  </si>
  <si>
    <t xml:space="preserve">La Interventoría analiza la respuesta del Concesionario y determina, no se aprecia, que se haya realizado visita al Predio para verificar los hechos, por tal razón determinar otros Diez (10) días hábiles para generar respuesta de fondo no se encuentra fundamentado. Se solicita al Concesionario, presenrte una justificación real, para haber tomado ese tiempo adicional, indique cuales fueron las circunstancias que impidieron generar una respuesta de fondo a la peticionaria. </t>
  </si>
  <si>
    <t>REMISORIO 471 EN RESPUESDTA AL OFICIO 02-01-20201214003800</t>
  </si>
  <si>
    <t>La Interventoría manifiesta que para atender la revisión de los Insumos del Predio MAR1_UF1_230 se hace necesario que se tome en cuenta la solicitud enviada mediante oficios EPS4G-1249-20 del 19/11/2020 y EPS4G-1325-20 del 10/12/2020, "SOLICITUD DE GEOMETRÍA VÍAL - VÍAL DE DISEÑO DE DETALLES INCLUYENDO SECTORES DE MODIFICACIÓN" de todo el corredor del Proyecto Mar1.</t>
  </si>
  <si>
    <t>REMISORIO 472 EN RESPUESTA AL OFICIO 02-01-20201216003836</t>
  </si>
  <si>
    <t>La Interventoría dejó en observación la modificación al Avalúo del Predio MAR1_UF1_190</t>
  </si>
  <si>
    <t>REMISORIO 473 EN RESPUESTA AL OFICIO 02-01-20201216003852</t>
  </si>
  <si>
    <t>La Interventoría dejó en observación la modificación al Avalúo del Predio MAR1_UF2_153</t>
  </si>
  <si>
    <t>REMISORIO 474 EN RESPUESTA AL OFICIO 02-01-20201216003851 - COMUNICACIONES EPS4G-1142-20, EPS4G-1145-20, EPS4G-1146-20, EPS4G-1147-20, EPS4G-1148-20, EPS4G-1149-20 Y EPS4G-1216-20 (TEMA PREDIAL).</t>
  </si>
  <si>
    <t>La Interventoría se ratifica en su posición y en el cual el Concesionario expreza su desacuerdo, en que este, "asuma no solo la compra de la totalidad de las áreas requeridas para llevar a cabo las modificaciones al Diseño (incluidos Diseños de taludes, terraplenes, entre otros) sino tambien reembolsar los costos de aquellos Predios que no seran aprovechables para el Proyecto".</t>
  </si>
  <si>
    <t>Aportes intereses fondeo 41</t>
  </si>
  <si>
    <t>Traslado de Predios 2 a predios1</t>
  </si>
  <si>
    <t>Ajuste solicitado por Concesión Desarrollo Vial al Mar S.A.S.</t>
  </si>
  <si>
    <t>Aportes en especie</t>
  </si>
  <si>
    <t>Aporte en Especie</t>
  </si>
  <si>
    <t>Aportes Deuda Subordinada</t>
  </si>
  <si>
    <t>RESPUESTA A LOS COMUNICADOS EPS4G-1245-20 - EPS4G-126-20 REFERENTE AL DISEÑO DEL PEAJE Y EDIFICIO DE APOYO EN LA UF3</t>
  </si>
  <si>
    <t>D-02-01-20201211-003791</t>
  </si>
  <si>
    <t>ENTREGA DE DISEÑOS DE DETALLE MODIFICACION PLATAFORMA CAFETERIA Y PARQUEADEROS DEL CENTRO DE OPERACIÓN DE LA UNIDAD FUNCIONAL 3</t>
  </si>
  <si>
    <t>D-02-01-20201221003894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</si>
</sst>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8" formatCode="&quot;$&quot;\ #,##0.00;[Red]\-&quot;$&quot;\ #,##0.00"/>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quot;$&quot;#,##0.00_);[Red]\(&quot;$&quot;#,##0.00\)"/>
    <numFmt numFmtId="176" formatCode="[$-C0A]mmmm\-yy;@"/>
    <numFmt numFmtId="177" formatCode="&quot;$&quot;\ #,##0.00"/>
    <numFmt numFmtId="178" formatCode="d\-mmm\-yyyy"/>
  </numFmts>
  <fonts count="67" x14ac:knownFonts="1">
    <font>
      <sz val="11"/>
      <color theme="1"/>
      <name val="Calibri"/>
      <family val="2"/>
      <scheme val="minor"/>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sz val="9"/>
      <name val="Arial"/>
      <family val="2"/>
    </font>
    <font>
      <sz val="8"/>
      <name val="Arial"/>
      <family val="2"/>
    </font>
    <font>
      <b/>
      <sz val="14"/>
      <name val="Calibri"/>
      <family val="2"/>
      <scheme val="minor"/>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sz val="12"/>
      <name val="Arial"/>
      <family val="2"/>
    </font>
    <font>
      <sz val="11"/>
      <name val="Arial Narrow"/>
      <family val="2"/>
    </font>
    <font>
      <b/>
      <sz val="10"/>
      <color rgb="FF000000"/>
      <name val="Arial"/>
      <family val="2"/>
    </font>
    <font>
      <b/>
      <sz val="9"/>
      <color theme="1"/>
      <name val="Calibri"/>
      <family val="2"/>
      <scheme val="minor"/>
    </font>
    <font>
      <b/>
      <sz val="20"/>
      <color theme="1"/>
      <name val="Calibri"/>
      <family val="2"/>
      <scheme val="minor"/>
    </font>
    <font>
      <sz val="10"/>
      <color theme="0"/>
      <name val="Calibri"/>
      <family val="2"/>
      <scheme val="minor"/>
    </font>
    <font>
      <b/>
      <sz val="10"/>
      <name val="Arial Narrow"/>
      <family val="2"/>
    </font>
    <font>
      <u/>
      <sz val="11"/>
      <color theme="1"/>
      <name val="Arial"/>
      <family val="2"/>
    </font>
    <font>
      <u/>
      <sz val="11"/>
      <color rgb="FFFF0000"/>
      <name val="Arial"/>
      <family val="2"/>
    </font>
    <font>
      <b/>
      <i/>
      <sz val="11"/>
      <color theme="1"/>
      <name val="Arial"/>
      <family val="2"/>
    </font>
    <font>
      <b/>
      <u/>
      <sz val="11"/>
      <color theme="1"/>
      <name val="Arial"/>
      <family val="2"/>
    </font>
    <font>
      <sz val="11"/>
      <color rgb="FF00B0F0"/>
      <name val="Arial"/>
      <family val="2"/>
    </font>
    <font>
      <b/>
      <sz val="10"/>
      <name val="Calibri"/>
      <family val="2"/>
      <scheme val="minor"/>
    </font>
    <font>
      <b/>
      <sz val="9"/>
      <color indexed="81"/>
      <name val="Tahoma"/>
      <family val="2"/>
    </font>
    <font>
      <sz val="9"/>
      <color indexed="81"/>
      <name val="Tahoma"/>
      <family val="2"/>
    </font>
    <font>
      <sz val="72"/>
      <color theme="4"/>
      <name val="Calibri"/>
      <family val="2"/>
    </font>
    <font>
      <b/>
      <sz val="8"/>
      <color theme="1"/>
      <name val="Calibri"/>
      <family val="2"/>
      <scheme val="minor"/>
    </font>
    <font>
      <b/>
      <sz val="22"/>
      <color theme="1"/>
      <name val="Calibri"/>
      <family val="2"/>
      <scheme val="minor"/>
    </font>
    <font>
      <b/>
      <vertAlign val="subscript"/>
      <sz val="16"/>
      <color theme="4"/>
      <name val="Calibri"/>
      <family val="2"/>
      <scheme val="minor"/>
    </font>
    <font>
      <b/>
      <sz val="9"/>
      <name val="Calibri"/>
      <family val="2"/>
      <scheme val="minor"/>
    </font>
    <font>
      <b/>
      <sz val="11"/>
      <color theme="1"/>
      <name val="Calibri"/>
      <family val="2"/>
    </font>
    <font>
      <b/>
      <sz val="14"/>
      <color theme="1"/>
      <name val="Calibri"/>
      <family val="2"/>
      <scheme val="minor"/>
    </font>
    <font>
      <b/>
      <vertAlign val="subscript"/>
      <sz val="16"/>
      <color theme="1"/>
      <name val="Calibri"/>
      <family val="2"/>
      <scheme val="minor"/>
    </font>
    <font>
      <sz val="26"/>
      <color theme="1"/>
      <name val="Calibri"/>
      <family val="2"/>
      <scheme val="minor"/>
    </font>
    <font>
      <b/>
      <sz val="8"/>
      <color rgb="FF000000"/>
      <name val="Arial"/>
      <family val="2"/>
    </font>
    <font>
      <b/>
      <sz val="8"/>
      <color theme="1"/>
      <name val="Arial"/>
      <family val="2"/>
    </font>
  </fonts>
  <fills count="25">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
      <patternFill patternType="solid">
        <fgColor rgb="FF92D050"/>
        <bgColor indexed="64"/>
      </patternFill>
    </fill>
    <fill>
      <patternFill patternType="solid">
        <fgColor rgb="FFFFFFFF"/>
        <bgColor indexed="64"/>
      </patternFill>
    </fill>
    <fill>
      <patternFill patternType="solid">
        <fgColor rgb="FFFFFF00"/>
        <bgColor rgb="FF000000"/>
      </patternFill>
    </fill>
  </fills>
  <borders count="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bottom style="medium">
        <color auto="1"/>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medium">
        <color indexed="64"/>
      </right>
      <top style="medium">
        <color indexed="64"/>
      </top>
      <bottom style="medium">
        <color indexed="64"/>
      </bottom>
      <diagonal/>
    </border>
  </borders>
  <cellStyleXfs count="19">
    <xf numFmtId="0" fontId="0" fillId="0" borderId="0"/>
    <xf numFmtId="9" fontId="1" fillId="0" borderId="0" applyFont="0" applyFill="0" applyBorder="0" applyAlignment="0" applyProtection="0"/>
    <xf numFmtId="0" fontId="10" fillId="0" borderId="0"/>
    <xf numFmtId="0" fontId="1" fillId="0" borderId="0"/>
    <xf numFmtId="164" fontId="1" fillId="0" borderId="0" applyFont="0" applyFill="0" applyBorder="0" applyAlignment="0" applyProtection="0"/>
    <xf numFmtId="165" fontId="10" fillId="0" borderId="0" applyFont="0" applyFill="0" applyBorder="0" applyAlignment="0" applyProtection="0"/>
    <xf numFmtId="0" fontId="15" fillId="0" borderId="0"/>
    <xf numFmtId="0" fontId="1" fillId="0" borderId="0"/>
    <xf numFmtId="165"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31" fillId="0" borderId="0" applyNumberFormat="0" applyFill="0" applyBorder="0" applyAlignment="0" applyProtection="0"/>
    <xf numFmtId="0" fontId="1" fillId="0" borderId="0"/>
    <xf numFmtId="9" fontId="1" fillId="0" borderId="0" applyFont="0" applyFill="0" applyBorder="0" applyAlignment="0" applyProtection="0"/>
    <xf numFmtId="0" fontId="1" fillId="0" borderId="0"/>
    <xf numFmtId="0" fontId="1" fillId="0" borderId="0"/>
  </cellStyleXfs>
  <cellXfs count="1074">
    <xf numFmtId="0" fontId="0" fillId="0" borderId="0" xfId="0"/>
    <xf numFmtId="0" fontId="3" fillId="0" borderId="0" xfId="0" applyFont="1" applyAlignment="1">
      <alignment wrapText="1"/>
    </xf>
    <xf numFmtId="0" fontId="9" fillId="0" borderId="0" xfId="0" applyFont="1" applyAlignment="1">
      <alignment wrapText="1"/>
    </xf>
    <xf numFmtId="0" fontId="4" fillId="0" borderId="0" xfId="0" applyFont="1" applyAlignment="1">
      <alignment wrapText="1"/>
    </xf>
    <xf numFmtId="0" fontId="4" fillId="0" borderId="1" xfId="0" applyFont="1" applyBorder="1" applyAlignment="1">
      <alignment wrapText="1"/>
    </xf>
    <xf numFmtId="2" fontId="4" fillId="0" borderId="1" xfId="0" applyNumberFormat="1" applyFont="1" applyBorder="1" applyAlignment="1">
      <alignment horizontal="center" wrapText="1"/>
    </xf>
    <xf numFmtId="0" fontId="4" fillId="0" borderId="0" xfId="0" applyFont="1"/>
    <xf numFmtId="0" fontId="4" fillId="0" borderId="0" xfId="0" applyFont="1" applyAlignment="1">
      <alignment vertical="center"/>
    </xf>
    <xf numFmtId="0" fontId="11" fillId="0" borderId="1" xfId="0" applyFont="1" applyBorder="1" applyAlignment="1">
      <alignment horizontal="center" vertical="center" wrapText="1"/>
    </xf>
    <xf numFmtId="2" fontId="11" fillId="0" borderId="1" xfId="0"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15" fontId="4" fillId="0" borderId="1" xfId="0" applyNumberFormat="1" applyFont="1" applyBorder="1" applyAlignment="1">
      <alignment horizontal="center" vertical="center"/>
    </xf>
    <xf numFmtId="1" fontId="4" fillId="0" borderId="1" xfId="0" applyNumberFormat="1" applyFont="1" applyBorder="1" applyAlignment="1">
      <alignment horizontal="center" vertical="center"/>
    </xf>
    <xf numFmtId="10" fontId="4" fillId="0" borderId="1" xfId="1" applyNumberFormat="1" applyFont="1" applyBorder="1" applyAlignment="1">
      <alignment horizontal="center" vertical="center" wrapText="1"/>
    </xf>
    <xf numFmtId="0" fontId="4" fillId="0" borderId="1" xfId="0" applyFont="1" applyBorder="1"/>
    <xf numFmtId="10" fontId="4" fillId="0" borderId="1" xfId="1" applyNumberFormat="1" applyFont="1" applyBorder="1"/>
    <xf numFmtId="2" fontId="4" fillId="0" borderId="1" xfId="0" applyNumberFormat="1" applyFont="1" applyBorder="1" applyAlignment="1">
      <alignment horizontal="center"/>
    </xf>
    <xf numFmtId="1" fontId="6" fillId="0" borderId="1" xfId="1" applyNumberFormat="1" applyFont="1" applyBorder="1" applyAlignment="1">
      <alignment horizontal="center" vertical="center" wrapText="1"/>
    </xf>
    <xf numFmtId="0" fontId="6" fillId="0" borderId="0" xfId="2" applyFont="1" applyAlignment="1">
      <alignment horizontal="center" vertical="center"/>
    </xf>
    <xf numFmtId="2" fontId="6" fillId="0" borderId="1" xfId="1" applyNumberFormat="1" applyFont="1" applyBorder="1" applyAlignment="1">
      <alignment horizontal="center" vertical="center" wrapText="1"/>
    </xf>
    <xf numFmtId="167" fontId="6" fillId="0" borderId="1" xfId="1" applyNumberFormat="1" applyFont="1" applyBorder="1" applyAlignment="1">
      <alignment horizontal="center" vertical="center" wrapText="1"/>
    </xf>
    <xf numFmtId="1" fontId="6" fillId="0" borderId="1" xfId="0" applyNumberFormat="1" applyFont="1" applyBorder="1" applyAlignment="1">
      <alignment horizontal="center" vertical="center" wrapText="1"/>
    </xf>
    <xf numFmtId="0" fontId="9" fillId="0" borderId="0" xfId="0" applyFont="1"/>
    <xf numFmtId="14" fontId="4" fillId="0" borderId="0" xfId="0" applyNumberFormat="1" applyFont="1" applyAlignment="1">
      <alignment wrapText="1"/>
    </xf>
    <xf numFmtId="10" fontId="14" fillId="0" borderId="1" xfId="1" applyNumberFormat="1" applyFont="1" applyBorder="1" applyAlignment="1">
      <alignment horizontal="center" vertical="center" wrapText="1"/>
    </xf>
    <xf numFmtId="2" fontId="3" fillId="0" borderId="0" xfId="0" applyNumberFormat="1" applyFont="1" applyAlignment="1">
      <alignment horizontal="center" wrapText="1"/>
    </xf>
    <xf numFmtId="0" fontId="3" fillId="0" borderId="0" xfId="0" applyFont="1" applyAlignment="1">
      <alignment vertical="center" wrapText="1"/>
    </xf>
    <xf numFmtId="10" fontId="4" fillId="0" borderId="1" xfId="1" applyNumberFormat="1" applyFont="1" applyBorder="1" applyAlignment="1">
      <alignment horizontal="center" vertical="center"/>
    </xf>
    <xf numFmtId="169" fontId="6" fillId="0" borderId="1" xfId="5" applyNumberFormat="1" applyFont="1" applyBorder="1" applyAlignment="1">
      <alignment horizontal="center"/>
    </xf>
    <xf numFmtId="38" fontId="6" fillId="15" borderId="1" xfId="2" applyNumberFormat="1" applyFont="1" applyFill="1" applyBorder="1" applyAlignment="1">
      <alignment horizontal="center" vertical="center" wrapText="1"/>
    </xf>
    <xf numFmtId="169" fontId="6" fillId="15" borderId="1" xfId="5" applyNumberFormat="1" applyFont="1" applyFill="1" applyBorder="1" applyAlignment="1">
      <alignment horizontal="center"/>
    </xf>
    <xf numFmtId="49" fontId="6" fillId="0" borderId="1" xfId="5" applyNumberFormat="1" applyFont="1" applyBorder="1" applyAlignment="1">
      <alignment horizontal="center" vertical="center" wrapText="1"/>
    </xf>
    <xf numFmtId="49" fontId="6" fillId="0" borderId="1" xfId="5" applyNumberFormat="1" applyFont="1" applyBorder="1" applyAlignment="1">
      <alignment horizontal="center"/>
    </xf>
    <xf numFmtId="0" fontId="18" fillId="0" borderId="0" xfId="0" applyFont="1" applyAlignment="1">
      <alignment horizontal="left"/>
    </xf>
    <xf numFmtId="0" fontId="18" fillId="0" borderId="0" xfId="0" applyFont="1"/>
    <xf numFmtId="1" fontId="18" fillId="17" borderId="18" xfId="0" applyNumberFormat="1" applyFont="1" applyFill="1" applyBorder="1" applyAlignment="1">
      <alignment vertical="center"/>
    </xf>
    <xf numFmtId="1" fontId="18" fillId="0" borderId="1" xfId="0" applyNumberFormat="1" applyFont="1" applyBorder="1" applyAlignment="1">
      <alignment vertical="center"/>
    </xf>
    <xf numFmtId="1" fontId="18" fillId="0" borderId="27" xfId="0" applyNumberFormat="1" applyFont="1" applyBorder="1" applyAlignment="1">
      <alignment vertical="center"/>
    </xf>
    <xf numFmtId="1" fontId="18" fillId="0" borderId="11" xfId="0" applyNumberFormat="1" applyFont="1" applyBorder="1" applyAlignment="1">
      <alignment vertical="center"/>
    </xf>
    <xf numFmtId="170" fontId="17" fillId="16" borderId="1" xfId="11" applyNumberFormat="1" applyFont="1" applyFill="1" applyBorder="1" applyAlignment="1">
      <alignment horizontal="right" wrapText="1"/>
    </xf>
    <xf numFmtId="0" fontId="7" fillId="0" borderId="9" xfId="0" applyFont="1" applyBorder="1" applyAlignment="1">
      <alignment vertical="center" wrapText="1"/>
    </xf>
    <xf numFmtId="0" fontId="7" fillId="0" borderId="10" xfId="0" applyFont="1" applyBorder="1" applyAlignment="1">
      <alignment vertical="center" wrapText="1"/>
    </xf>
    <xf numFmtId="14" fontId="6" fillId="0" borderId="5" xfId="0" applyNumberFormat="1" applyFont="1" applyBorder="1" applyAlignment="1">
      <alignment vertical="center" wrapText="1"/>
    </xf>
    <xf numFmtId="14" fontId="6" fillId="0" borderId="6" xfId="0" applyNumberFormat="1" applyFont="1" applyBorder="1" applyAlignment="1">
      <alignment vertical="center" wrapText="1"/>
    </xf>
    <xf numFmtId="14" fontId="6" fillId="0" borderId="7" xfId="0" applyNumberFormat="1" applyFont="1" applyBorder="1" applyAlignment="1">
      <alignment vertical="center" wrapText="1"/>
    </xf>
    <xf numFmtId="0" fontId="7" fillId="0" borderId="8" xfId="0" applyFont="1" applyBorder="1" applyAlignment="1">
      <alignment vertical="center" wrapText="1"/>
    </xf>
    <xf numFmtId="0" fontId="6" fillId="6" borderId="0" xfId="0" applyFont="1" applyFill="1" applyAlignment="1">
      <alignment vertical="center" wrapText="1"/>
    </xf>
    <xf numFmtId="0" fontId="6" fillId="0" borderId="6" xfId="0" quotePrefix="1" applyFont="1" applyBorder="1" applyAlignment="1">
      <alignment horizontal="left" vertical="center" wrapText="1"/>
    </xf>
    <xf numFmtId="0" fontId="6" fillId="0" borderId="0" xfId="0" quotePrefix="1" applyFont="1" applyAlignment="1">
      <alignment horizontal="left" vertical="center" wrapText="1"/>
    </xf>
    <xf numFmtId="49" fontId="7" fillId="0" borderId="3" xfId="0" applyNumberFormat="1" applyFont="1" applyBorder="1" applyAlignment="1">
      <alignment horizontal="left" vertical="center" wrapText="1"/>
    </xf>
    <xf numFmtId="169" fontId="6" fillId="0" borderId="1" xfId="5" applyNumberFormat="1" applyFont="1" applyBorder="1" applyAlignment="1">
      <alignment vertical="center" wrapText="1"/>
    </xf>
    <xf numFmtId="0" fontId="6" fillId="6" borderId="3" xfId="0" applyFont="1" applyFill="1" applyBorder="1" applyAlignment="1">
      <alignment horizontal="center" vertical="center" wrapText="1"/>
    </xf>
    <xf numFmtId="0" fontId="7" fillId="3" borderId="11" xfId="0" applyFont="1" applyFill="1" applyBorder="1" applyAlignment="1">
      <alignment horizontal="center" vertical="center" wrapText="1"/>
    </xf>
    <xf numFmtId="0" fontId="3" fillId="0" borderId="0" xfId="0" applyFont="1" applyAlignment="1">
      <alignment vertical="top" wrapText="1"/>
    </xf>
    <xf numFmtId="0" fontId="3" fillId="0" borderId="1" xfId="0" applyFont="1" applyBorder="1" applyAlignment="1">
      <alignment wrapText="1"/>
    </xf>
    <xf numFmtId="38" fontId="6"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wrapText="1"/>
    </xf>
    <xf numFmtId="0" fontId="19" fillId="0" borderId="0" xfId="0" applyFont="1"/>
    <xf numFmtId="38" fontId="6" fillId="0" borderId="1" xfId="2" applyNumberFormat="1" applyFont="1" applyBorder="1" applyAlignment="1">
      <alignment horizontal="center" wrapText="1"/>
    </xf>
    <xf numFmtId="0" fontId="6" fillId="0" borderId="1" xfId="0"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15" fontId="6" fillId="0" borderId="1" xfId="0"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4" borderId="1" xfId="0" applyFont="1" applyFill="1" applyBorder="1" applyAlignment="1">
      <alignment horizontal="center" vertical="center" wrapText="1"/>
    </xf>
    <xf numFmtId="49" fontId="8" fillId="0" borderId="3" xfId="0" applyNumberFormat="1" applyFont="1" applyBorder="1" applyAlignment="1">
      <alignment horizontal="left" vertical="center" wrapText="1"/>
    </xf>
    <xf numFmtId="0" fontId="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4" fillId="0" borderId="1" xfId="0" applyFont="1" applyBorder="1" applyAlignment="1">
      <alignment horizontal="center" wrapText="1"/>
    </xf>
    <xf numFmtId="0" fontId="6" fillId="6" borderId="1" xfId="0" applyFont="1" applyFill="1" applyBorder="1" applyAlignment="1">
      <alignment horizontal="center" vertical="center" wrapText="1"/>
    </xf>
    <xf numFmtId="0" fontId="0" fillId="0" borderId="0" xfId="0"/>
    <xf numFmtId="0" fontId="4" fillId="0" borderId="0" xfId="0" applyFont="1" applyAlignment="1">
      <alignment horizontal="left" vertical="center" wrapText="1"/>
    </xf>
    <xf numFmtId="171" fontId="17" fillId="16" borderId="1" xfId="0" applyNumberFormat="1" applyFont="1" applyFill="1" applyBorder="1" applyAlignment="1">
      <alignment horizontal="right" wrapText="1"/>
    </xf>
    <xf numFmtId="49" fontId="6" fillId="0" borderId="1" xfId="5" applyNumberFormat="1" applyFont="1" applyBorder="1" applyAlignment="1">
      <alignment horizontal="right" wrapText="1"/>
    </xf>
    <xf numFmtId="49" fontId="6" fillId="0" borderId="1" xfId="5" applyNumberFormat="1" applyFont="1" applyBorder="1" applyAlignment="1">
      <alignment horizontal="right"/>
    </xf>
    <xf numFmtId="170" fontId="17" fillId="0" borderId="1" xfId="11" applyNumberFormat="1" applyFont="1" applyBorder="1" applyAlignment="1">
      <alignment horizontal="right" wrapText="1"/>
    </xf>
    <xf numFmtId="170" fontId="17" fillId="16" borderId="1" xfId="11" applyNumberFormat="1" applyFont="1" applyFill="1" applyBorder="1" applyAlignment="1">
      <alignment horizontal="right" vertical="center" wrapText="1"/>
    </xf>
    <xf numFmtId="49" fontId="6" fillId="0" borderId="1" xfId="5" applyNumberFormat="1" applyFont="1" applyBorder="1" applyAlignment="1">
      <alignment horizontal="right" vertical="center" wrapText="1"/>
    </xf>
    <xf numFmtId="0" fontId="0" fillId="0" borderId="0" xfId="0" applyAlignment="1">
      <alignment wrapText="1"/>
    </xf>
    <xf numFmtId="17" fontId="21" fillId="0" borderId="11" xfId="12" applyNumberFormat="1" applyFont="1" applyBorder="1" applyAlignment="1">
      <alignment horizontal="center" vertical="center"/>
    </xf>
    <xf numFmtId="0" fontId="0" fillId="0" borderId="0" xfId="0"/>
    <xf numFmtId="38" fontId="7" fillId="3" borderId="11" xfId="0" applyNumberFormat="1" applyFont="1" applyFill="1" applyBorder="1" applyAlignment="1">
      <alignment horizontal="center" vertical="center" wrapText="1"/>
    </xf>
    <xf numFmtId="1" fontId="11" fillId="0" borderId="1" xfId="0" applyNumberFormat="1" applyFont="1" applyBorder="1" applyAlignment="1">
      <alignment vertical="center"/>
    </xf>
    <xf numFmtId="174" fontId="10" fillId="0" borderId="1" xfId="0" applyNumberFormat="1" applyFont="1" applyBorder="1" applyAlignment="1">
      <alignment vertical="center"/>
    </xf>
    <xf numFmtId="170" fontId="17" fillId="0" borderId="1" xfId="11" applyNumberFormat="1" applyFont="1" applyFill="1" applyBorder="1" applyAlignment="1">
      <alignment horizontal="right" vertical="center" wrapText="1"/>
    </xf>
    <xf numFmtId="49" fontId="6" fillId="0" borderId="1" xfId="5" applyNumberFormat="1" applyFont="1" applyFill="1" applyBorder="1" applyAlignment="1">
      <alignment horizontal="right"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0" fontId="6" fillId="0" borderId="1" xfId="0" applyFont="1" applyBorder="1" applyAlignment="1">
      <alignment horizontal="left" vertical="center" wrapText="1"/>
    </xf>
    <xf numFmtId="2" fontId="5" fillId="0" borderId="1" xfId="1" applyNumberFormat="1" applyFont="1" applyBorder="1" applyAlignment="1">
      <alignment horizontal="center" vertical="center"/>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9" fontId="6" fillId="0" borderId="1" xfId="1" applyNumberFormat="1" applyFont="1" applyBorder="1" applyAlignment="1">
      <alignment horizontal="center" vertical="center" wrapText="1"/>
    </xf>
    <xf numFmtId="9" fontId="6" fillId="0" borderId="1" xfId="1" applyNumberFormat="1" applyFont="1" applyBorder="1" applyAlignment="1">
      <alignment horizontal="center" vertical="center"/>
    </xf>
    <xf numFmtId="14" fontId="28" fillId="0" borderId="1" xfId="12" applyNumberFormat="1" applyFont="1" applyBorder="1" applyAlignment="1">
      <alignment horizontal="center" vertical="center"/>
    </xf>
    <xf numFmtId="0" fontId="12" fillId="12" borderId="13" xfId="0" applyFont="1" applyFill="1" applyBorder="1" applyAlignment="1">
      <alignment horizontal="center" vertical="center" textRotation="90" wrapText="1"/>
    </xf>
    <xf numFmtId="0" fontId="38" fillId="0" borderId="26" xfId="15" applyFont="1" applyBorder="1" applyAlignment="1">
      <alignment horizontal="center" vertical="center"/>
    </xf>
    <xf numFmtId="17" fontId="36" fillId="0" borderId="1" xfId="15" applyNumberFormat="1" applyFont="1" applyBorder="1" applyAlignment="1">
      <alignment horizontal="center"/>
    </xf>
    <xf numFmtId="0" fontId="38" fillId="0" borderId="26" xfId="15" applyFont="1" applyBorder="1" applyAlignment="1">
      <alignment horizontal="center"/>
    </xf>
    <xf numFmtId="0" fontId="39" fillId="0" borderId="21" xfId="15" applyFont="1" applyBorder="1"/>
    <xf numFmtId="0" fontId="39" fillId="0" borderId="0" xfId="15" applyFont="1" applyAlignment="1">
      <alignment vertical="center"/>
    </xf>
    <xf numFmtId="9" fontId="40" fillId="17" borderId="1" xfId="16" applyFont="1" applyFill="1" applyBorder="1" applyAlignment="1">
      <alignment horizontal="center" vertical="center" wrapText="1"/>
    </xf>
    <xf numFmtId="1" fontId="11" fillId="17" borderId="18" xfId="0" applyNumberFormat="1" applyFont="1" applyFill="1" applyBorder="1" applyAlignment="1">
      <alignment vertical="center"/>
    </xf>
    <xf numFmtId="9" fontId="40" fillId="0" borderId="1" xfId="16" applyFont="1" applyBorder="1" applyAlignment="1">
      <alignment horizontal="center" vertical="center" wrapText="1"/>
    </xf>
    <xf numFmtId="9" fontId="40" fillId="0" borderId="1" xfId="16" applyFont="1" applyBorder="1" applyAlignment="1">
      <alignment horizontal="center"/>
    </xf>
    <xf numFmtId="1" fontId="11" fillId="17" borderId="12" xfId="0" applyNumberFormat="1" applyFont="1" applyFill="1" applyBorder="1" applyAlignment="1">
      <alignment vertical="center"/>
    </xf>
    <xf numFmtId="9" fontId="40" fillId="0" borderId="27" xfId="16" applyFont="1" applyBorder="1" applyAlignment="1">
      <alignment horizontal="center"/>
    </xf>
    <xf numFmtId="0" fontId="25" fillId="0" borderId="0" xfId="0" applyFont="1" applyAlignment="1">
      <alignment horizontal="left" vertical="top" wrapText="1"/>
    </xf>
    <xf numFmtId="0" fontId="1" fillId="7" borderId="0" xfId="12" applyFill="1"/>
    <xf numFmtId="0" fontId="25" fillId="0" borderId="0" xfId="0" applyFont="1" applyAlignment="1">
      <alignment horizontal="left" vertical="top"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38" fontId="7" fillId="0" borderId="1" xfId="2" applyNumberFormat="1" applyFont="1" applyBorder="1" applyAlignment="1">
      <alignment horizontal="right" vertical="center"/>
    </xf>
    <xf numFmtId="171" fontId="17" fillId="16" borderId="1" xfId="0" applyNumberFormat="1" applyFont="1" applyFill="1" applyBorder="1" applyAlignment="1">
      <alignment horizontal="right" vertical="center" wrapText="1"/>
    </xf>
    <xf numFmtId="169" fontId="1" fillId="0" borderId="1" xfId="0" applyNumberFormat="1" applyFont="1" applyBorder="1" applyAlignment="1">
      <alignment wrapText="1"/>
    </xf>
    <xf numFmtId="0" fontId="19" fillId="0" borderId="0" xfId="0" applyFont="1" applyAlignment="1">
      <alignment wrapText="1"/>
    </xf>
    <xf numFmtId="169" fontId="2" fillId="0" borderId="1" xfId="0" applyNumberFormat="1" applyFont="1" applyBorder="1" applyAlignment="1">
      <alignment wrapText="1"/>
    </xf>
    <xf numFmtId="170" fontId="12" fillId="0" borderId="1" xfId="11" applyNumberFormat="1" applyFont="1" applyBorder="1" applyAlignment="1">
      <alignment horizontal="right" wrapText="1"/>
    </xf>
    <xf numFmtId="38" fontId="16" fillId="0" borderId="1" xfId="2" applyNumberFormat="1" applyFont="1" applyBorder="1" applyAlignment="1">
      <alignment horizontal="center" wrapText="1"/>
    </xf>
    <xf numFmtId="171" fontId="43" fillId="16" borderId="1" xfId="0" applyNumberFormat="1" applyFont="1" applyFill="1" applyBorder="1" applyAlignment="1">
      <alignment horizontal="right" wrapText="1"/>
    </xf>
    <xf numFmtId="49" fontId="16" fillId="0" borderId="1" xfId="5" applyNumberFormat="1" applyFont="1" applyBorder="1" applyAlignment="1">
      <alignment horizontal="right"/>
    </xf>
    <xf numFmtId="0" fontId="12" fillId="12" borderId="13"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14" fontId="30" fillId="0" borderId="11" xfId="7" applyNumberFormat="1" applyFont="1" applyBorder="1" applyAlignment="1">
      <alignment horizontal="center" vertical="center"/>
    </xf>
    <xf numFmtId="0" fontId="38" fillId="0" borderId="26" xfId="15" applyFont="1" applyBorder="1" applyAlignment="1">
      <alignment horizontal="center" wrapText="1"/>
    </xf>
    <xf numFmtId="0" fontId="38" fillId="0" borderId="26" xfId="15" applyFont="1" applyBorder="1" applyAlignment="1">
      <alignment horizontal="center" vertical="center" wrapText="1"/>
    </xf>
    <xf numFmtId="0" fontId="0" fillId="0" borderId="0" xfId="0"/>
    <xf numFmtId="0" fontId="1" fillId="0" borderId="0" xfId="12"/>
    <xf numFmtId="0" fontId="21" fillId="0" borderId="4" xfId="12" applyFont="1" applyBorder="1" applyAlignment="1">
      <alignment horizontal="center" vertical="center"/>
    </xf>
    <xf numFmtId="17" fontId="21" fillId="0" borderId="7" xfId="12" applyNumberFormat="1" applyFont="1" applyBorder="1" applyAlignment="1">
      <alignment horizontal="center" vertical="center"/>
    </xf>
    <xf numFmtId="0" fontId="21" fillId="0" borderId="11" xfId="12" applyFont="1" applyBorder="1" applyAlignment="1">
      <alignment horizontal="center" vertical="center"/>
    </xf>
    <xf numFmtId="0" fontId="0" fillId="0" borderId="0" xfId="12" applyFont="1"/>
    <xf numFmtId="0" fontId="12" fillId="12" borderId="13" xfId="0" applyFont="1" applyFill="1" applyBorder="1" applyAlignment="1">
      <alignment horizontal="center" vertical="center" textRotation="90" wrapText="1"/>
    </xf>
    <xf numFmtId="0" fontId="38" fillId="0" borderId="1" xfId="15" applyFont="1" applyBorder="1" applyAlignment="1">
      <alignment horizont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9" fontId="1" fillId="0" borderId="1" xfId="0" applyNumberFormat="1" applyFont="1" applyBorder="1" applyAlignment="1">
      <alignment vertical="center" wrapText="1"/>
    </xf>
    <xf numFmtId="0" fontId="7" fillId="3" borderId="1" xfId="2" applyFont="1" applyFill="1" applyBorder="1" applyAlignment="1">
      <alignment horizontal="center" vertical="center"/>
    </xf>
    <xf numFmtId="38" fontId="7" fillId="3" borderId="1" xfId="2" applyNumberFormat="1" applyFont="1" applyFill="1" applyBorder="1" applyAlignment="1">
      <alignment horizontal="center" vertical="center"/>
    </xf>
    <xf numFmtId="0" fontId="7" fillId="14" borderId="1" xfId="2" applyFont="1" applyFill="1" applyBorder="1" applyAlignment="1">
      <alignment horizontal="center" vertical="center"/>
    </xf>
    <xf numFmtId="38" fontId="7" fillId="3" borderId="1" xfId="2" applyNumberFormat="1" applyFont="1" applyFill="1" applyBorder="1" applyAlignment="1">
      <alignment horizontal="center" vertical="center" wrapText="1"/>
    </xf>
    <xf numFmtId="169" fontId="6" fillId="0" borderId="1" xfId="5" applyNumberFormat="1" applyFont="1" applyBorder="1" applyAlignment="1">
      <alignment horizontal="right" vertical="center" wrapText="1"/>
    </xf>
    <xf numFmtId="0" fontId="6" fillId="0" borderId="1" xfId="2" applyFont="1" applyBorder="1" applyAlignment="1">
      <alignment horizontal="center" wrapText="1"/>
    </xf>
    <xf numFmtId="0" fontId="4" fillId="0" borderId="1" xfId="0" applyFont="1" applyBorder="1" applyAlignment="1">
      <alignment horizontal="center" wrapText="1"/>
    </xf>
    <xf numFmtId="175" fontId="1" fillId="0" borderId="1" xfId="0" applyNumberFormat="1" applyFont="1" applyBorder="1" applyAlignment="1">
      <alignment wrapText="1"/>
    </xf>
    <xf numFmtId="0" fontId="18" fillId="0" borderId="1" xfId="0" applyFont="1" applyBorder="1" applyAlignment="1">
      <alignment wrapText="1"/>
    </xf>
    <xf numFmtId="0" fontId="16" fillId="0" borderId="1" xfId="2" applyFont="1" applyBorder="1" applyAlignment="1">
      <alignment horizontal="center" wrapText="1"/>
    </xf>
    <xf numFmtId="0" fontId="11" fillId="0" borderId="1" xfId="0" applyFont="1" applyBorder="1" applyAlignment="1">
      <alignment horizontal="center" wrapText="1"/>
    </xf>
    <xf numFmtId="175" fontId="19" fillId="0" borderId="1" xfId="0" applyNumberFormat="1" applyFont="1" applyBorder="1" applyAlignment="1">
      <alignment wrapText="1"/>
    </xf>
    <xf numFmtId="0" fontId="11" fillId="0" borderId="1" xfId="0" applyFont="1" applyBorder="1" applyAlignment="1">
      <alignment wrapText="1"/>
    </xf>
    <xf numFmtId="15" fontId="6" fillId="0" borderId="1" xfId="2" applyNumberFormat="1" applyFont="1" applyBorder="1" applyAlignment="1">
      <alignment vertical="center" wrapText="1"/>
    </xf>
    <xf numFmtId="175" fontId="6" fillId="0" borderId="1" xfId="5" applyNumberFormat="1" applyFont="1" applyBorder="1" applyAlignment="1">
      <alignment vertical="center" wrapText="1"/>
    </xf>
    <xf numFmtId="175" fontId="6" fillId="0" borderId="1" xfId="5" applyNumberFormat="1" applyFont="1" applyBorder="1" applyAlignment="1">
      <alignment wrapText="1"/>
    </xf>
    <xf numFmtId="0" fontId="0" fillId="0" borderId="1" xfId="0" applyBorder="1" applyAlignment="1">
      <alignment horizontal="center" vertical="center" wrapText="1"/>
    </xf>
    <xf numFmtId="0" fontId="1" fillId="0" borderId="1" xfId="0" applyFont="1" applyBorder="1" applyAlignment="1">
      <alignment horizontal="center" vertical="center" wrapText="1"/>
    </xf>
    <xf numFmtId="169" fontId="1" fillId="0" borderId="1" xfId="0" applyNumberFormat="1" applyFont="1" applyBorder="1" applyAlignment="1">
      <alignment horizontal="center" vertical="center" wrapText="1"/>
    </xf>
    <xf numFmtId="169" fontId="6" fillId="0" borderId="1" xfId="5" applyNumberFormat="1" applyFont="1" applyBorder="1" applyAlignment="1">
      <alignment horizontal="center" vertical="center" wrapText="1"/>
    </xf>
    <xf numFmtId="0" fontId="4" fillId="0" borderId="1" xfId="0" applyFont="1" applyBorder="1" applyAlignment="1">
      <alignment horizontal="right" wrapText="1"/>
    </xf>
    <xf numFmtId="169" fontId="1" fillId="0" borderId="1" xfId="0" applyNumberFormat="1" applyFont="1" applyBorder="1" applyAlignment="1">
      <alignment horizontal="right" wrapText="1"/>
    </xf>
    <xf numFmtId="169" fontId="6" fillId="0" borderId="1" xfId="5" applyNumberFormat="1" applyFont="1" applyBorder="1" applyAlignment="1">
      <alignment horizontal="right" wrapText="1"/>
    </xf>
    <xf numFmtId="169" fontId="4" fillId="0" borderId="1" xfId="0" applyNumberFormat="1" applyFont="1" applyBorder="1" applyAlignment="1">
      <alignment horizontal="right" wrapText="1"/>
    </xf>
    <xf numFmtId="15" fontId="6" fillId="0" borderId="1" xfId="2" applyNumberFormat="1" applyFont="1" applyBorder="1" applyAlignment="1">
      <alignment horizontal="center" vertical="center" wrapText="1"/>
    </xf>
    <xf numFmtId="0" fontId="6" fillId="15" borderId="1" xfId="2" applyFont="1" applyFill="1" applyBorder="1" applyAlignment="1">
      <alignment horizontal="center" vertical="center" wrapText="1"/>
    </xf>
    <xf numFmtId="169" fontId="6" fillId="0" borderId="1" xfId="2" applyNumberFormat="1" applyFont="1" applyBorder="1" applyAlignment="1">
      <alignment horizontal="center" vertical="center" wrapText="1"/>
    </xf>
    <xf numFmtId="164" fontId="6" fillId="0" borderId="1" xfId="11" applyFont="1" applyBorder="1" applyAlignment="1">
      <alignment vertical="center" wrapText="1"/>
    </xf>
    <xf numFmtId="169" fontId="4" fillId="0" borderId="1" xfId="0" applyNumberFormat="1" applyFont="1" applyBorder="1" applyAlignment="1">
      <alignment horizontal="center" vertical="center" wrapText="1"/>
    </xf>
    <xf numFmtId="0" fontId="3" fillId="0" borderId="0" xfId="0" applyFont="1"/>
    <xf numFmtId="0" fontId="3" fillId="0" borderId="0" xfId="0" applyFont="1" applyAlignment="1">
      <alignment horizontal="right" wrapText="1"/>
    </xf>
    <xf numFmtId="178" fontId="3" fillId="0" borderId="0" xfId="0" applyNumberFormat="1" applyFont="1" applyAlignment="1">
      <alignment horizontal="center" wrapText="1"/>
    </xf>
    <xf numFmtId="0" fontId="6" fillId="0" borderId="1" xfId="2" applyFont="1" applyBorder="1" applyAlignment="1">
      <alignment vertical="center" wrapText="1"/>
    </xf>
    <xf numFmtId="169" fontId="6" fillId="0" borderId="1" xfId="5" applyNumberFormat="1" applyFont="1" applyFill="1" applyBorder="1" applyAlignment="1">
      <alignment vertical="center" wrapText="1"/>
    </xf>
    <xf numFmtId="169" fontId="4" fillId="0" borderId="1" xfId="0" applyNumberFormat="1" applyFont="1" applyBorder="1" applyAlignment="1">
      <alignment horizontal="right" vertical="center" wrapText="1"/>
    </xf>
    <xf numFmtId="178" fontId="4" fillId="0" borderId="1" xfId="0" applyNumberFormat="1" applyFont="1" applyBorder="1" applyAlignment="1">
      <alignment horizontal="center" vertical="center" wrapText="1"/>
    </xf>
    <xf numFmtId="15" fontId="4" fillId="0" borderId="1" xfId="0" applyNumberFormat="1" applyFont="1" applyBorder="1" applyAlignment="1">
      <alignment vertical="center" wrapText="1"/>
    </xf>
    <xf numFmtId="0" fontId="46" fillId="0" borderId="0" xfId="0" applyFont="1" applyAlignment="1">
      <alignment wrapText="1"/>
    </xf>
    <xf numFmtId="178" fontId="0" fillId="0" borderId="1" xfId="0" applyNumberFormat="1" applyBorder="1" applyAlignment="1">
      <alignment horizontal="center" vertical="center" wrapText="1"/>
    </xf>
    <xf numFmtId="0" fontId="3" fillId="0" borderId="0" xfId="0" applyFont="1" applyAlignment="1">
      <alignment horizontal="center" vertical="center" wrapText="1"/>
    </xf>
    <xf numFmtId="0" fontId="3" fillId="0" borderId="0" xfId="0" applyFont="1" applyAlignment="1">
      <alignment horizontal="center" vertical="center"/>
    </xf>
    <xf numFmtId="0" fontId="3" fillId="0" borderId="1" xfId="0" applyFont="1" applyBorder="1" applyAlignment="1">
      <alignment horizontal="center" vertical="center" wrapText="1"/>
    </xf>
    <xf numFmtId="178" fontId="7" fillId="3" borderId="1" xfId="2" applyNumberFormat="1" applyFont="1" applyFill="1" applyBorder="1" applyAlignment="1">
      <alignment horizontal="center" vertical="center" wrapText="1"/>
    </xf>
    <xf numFmtId="0" fontId="46" fillId="0" borderId="0" xfId="0" applyFont="1" applyAlignment="1">
      <alignment horizontal="center" vertical="center" wrapText="1"/>
    </xf>
    <xf numFmtId="178" fontId="7" fillId="3" borderId="1" xfId="0" applyNumberFormat="1" applyFont="1" applyFill="1" applyBorder="1" applyAlignment="1">
      <alignment horizontal="center" vertical="center" wrapText="1"/>
    </xf>
    <xf numFmtId="0" fontId="3" fillId="0" borderId="1" xfId="0" applyFont="1" applyBorder="1" applyAlignment="1">
      <alignment horizontal="right" wrapText="1"/>
    </xf>
    <xf numFmtId="178" fontId="3" fillId="0" borderId="1" xfId="0" applyNumberFormat="1" applyFont="1" applyBorder="1" applyAlignment="1">
      <alignment horizontal="center" wrapText="1"/>
    </xf>
    <xf numFmtId="0" fontId="3" fillId="0" borderId="1" xfId="0" applyFont="1" applyBorder="1" applyAlignment="1">
      <alignment horizontal="center" wrapText="1"/>
    </xf>
    <xf numFmtId="0" fontId="19" fillId="0" borderId="1" xfId="0" applyFont="1" applyBorder="1" applyAlignment="1">
      <alignment wrapText="1"/>
    </xf>
    <xf numFmtId="0" fontId="16" fillId="0" borderId="1" xfId="2" applyFont="1" applyBorder="1" applyAlignment="1">
      <alignment wrapText="1"/>
    </xf>
    <xf numFmtId="175" fontId="16" fillId="0" borderId="1" xfId="5" applyNumberFormat="1" applyFont="1" applyBorder="1" applyAlignment="1">
      <alignment wrapText="1"/>
    </xf>
    <xf numFmtId="175" fontId="16" fillId="0" borderId="1" xfId="5" applyNumberFormat="1" applyFont="1" applyBorder="1" applyAlignment="1">
      <alignment horizontal="right" wrapText="1"/>
    </xf>
    <xf numFmtId="178" fontId="16" fillId="0" borderId="1" xfId="2" applyNumberFormat="1" applyFont="1" applyBorder="1" applyAlignment="1">
      <alignment horizontal="center" wrapText="1"/>
    </xf>
    <xf numFmtId="0" fontId="6" fillId="0" borderId="1" xfId="2" applyFont="1" applyBorder="1" applyAlignment="1">
      <alignment wrapText="1"/>
    </xf>
    <xf numFmtId="175" fontId="6" fillId="0" borderId="1" xfId="5" applyNumberFormat="1" applyFont="1" applyBorder="1" applyAlignment="1">
      <alignment horizontal="right" wrapText="1"/>
    </xf>
    <xf numFmtId="178" fontId="6" fillId="0" borderId="1" xfId="2" applyNumberFormat="1" applyFont="1" applyBorder="1" applyAlignment="1">
      <alignment horizontal="center" wrapText="1"/>
    </xf>
    <xf numFmtId="175" fontId="6" fillId="0" borderId="1" xfId="5" applyNumberFormat="1" applyFont="1" applyBorder="1" applyAlignment="1">
      <alignment horizontal="right" vertical="center" wrapText="1"/>
    </xf>
    <xf numFmtId="178" fontId="6" fillId="0" borderId="1" xfId="2" applyNumberFormat="1" applyFont="1" applyBorder="1" applyAlignment="1">
      <alignment horizontal="center" vertical="center" wrapText="1"/>
    </xf>
    <xf numFmtId="0" fontId="18" fillId="0" borderId="1" xfId="0" applyFont="1" applyBorder="1" applyAlignment="1">
      <alignment vertical="center" wrapText="1"/>
    </xf>
    <xf numFmtId="175" fontId="1" fillId="0" borderId="1" xfId="0" applyNumberFormat="1" applyFont="1" applyBorder="1" applyAlignment="1">
      <alignment vertical="center" wrapText="1"/>
    </xf>
    <xf numFmtId="0" fontId="6" fillId="0" borderId="1" xfId="2" applyFont="1" applyBorder="1" applyAlignment="1">
      <alignment vertical="justify" wrapText="1"/>
    </xf>
    <xf numFmtId="175" fontId="4" fillId="0" borderId="1" xfId="8" applyNumberFormat="1" applyFont="1" applyBorder="1" applyAlignment="1">
      <alignment horizontal="right"/>
    </xf>
    <xf numFmtId="164" fontId="3" fillId="0" borderId="0" xfId="11" applyFont="1" applyAlignment="1"/>
    <xf numFmtId="176" fontId="6" fillId="0" borderId="1" xfId="5" applyNumberFormat="1" applyFont="1" applyBorder="1" applyAlignment="1">
      <alignment horizontal="right"/>
    </xf>
    <xf numFmtId="0" fontId="4" fillId="0" borderId="1" xfId="0" applyFont="1" applyBorder="1" applyAlignment="1">
      <alignment vertical="center" wrapText="1"/>
    </xf>
    <xf numFmtId="178" fontId="0" fillId="0" borderId="1" xfId="0" applyNumberFormat="1" applyBorder="1" applyAlignment="1">
      <alignment horizontal="center" wrapText="1"/>
    </xf>
    <xf numFmtId="177" fontId="7" fillId="0" borderId="1" xfId="2" applyNumberFormat="1" applyFont="1" applyBorder="1" applyAlignment="1">
      <alignment vertical="center" wrapText="1"/>
    </xf>
    <xf numFmtId="169" fontId="7" fillId="0" borderId="1" xfId="5" applyNumberFormat="1" applyFont="1" applyBorder="1" applyAlignment="1">
      <alignment wrapText="1"/>
    </xf>
    <xf numFmtId="169" fontId="2" fillId="0" borderId="1" xfId="0" applyNumberFormat="1" applyFont="1" applyBorder="1" applyAlignment="1">
      <alignment horizontal="right" wrapText="1"/>
    </xf>
    <xf numFmtId="178" fontId="2" fillId="0" borderId="1" xfId="0" applyNumberFormat="1" applyFont="1" applyBorder="1" applyAlignment="1">
      <alignment horizontal="center" wrapText="1"/>
    </xf>
    <xf numFmtId="0" fontId="5" fillId="0" borderId="1" xfId="0" applyFont="1" applyBorder="1" applyAlignment="1">
      <alignment wrapText="1"/>
    </xf>
    <xf numFmtId="169" fontId="6" fillId="0" borderId="1" xfId="5" applyNumberFormat="1" applyFont="1" applyBorder="1" applyAlignment="1">
      <alignment wrapText="1"/>
    </xf>
    <xf numFmtId="169" fontId="31" fillId="0" borderId="1" xfId="14" applyNumberFormat="1" applyBorder="1" applyAlignment="1">
      <alignment wrapText="1"/>
    </xf>
    <xf numFmtId="0" fontId="7" fillId="0" borderId="1" xfId="2" applyFont="1" applyBorder="1" applyAlignment="1">
      <alignment horizontal="left" vertical="center"/>
    </xf>
    <xf numFmtId="169" fontId="5" fillId="0" borderId="1" xfId="0" applyNumberFormat="1" applyFont="1" applyBorder="1" applyAlignment="1">
      <alignment horizontal="right" wrapText="1"/>
    </xf>
    <xf numFmtId="49" fontId="7" fillId="0" borderId="1" xfId="5" applyNumberFormat="1" applyFont="1" applyBorder="1" applyAlignment="1">
      <alignment horizontal="right" wrapText="1"/>
    </xf>
    <xf numFmtId="177" fontId="3" fillId="0" borderId="1" xfId="0" applyNumberFormat="1" applyFont="1" applyBorder="1" applyAlignment="1">
      <alignment wrapText="1"/>
    </xf>
    <xf numFmtId="4" fontId="0" fillId="0" borderId="12" xfId="0" applyNumberFormat="1" applyBorder="1" applyAlignment="1">
      <alignment vertical="center"/>
    </xf>
    <xf numFmtId="0" fontId="3" fillId="0" borderId="11" xfId="0" applyFont="1" applyBorder="1" applyAlignment="1">
      <alignment vertical="center"/>
    </xf>
    <xf numFmtId="169" fontId="6" fillId="0" borderId="1" xfId="0" applyNumberFormat="1" applyFont="1" applyBorder="1" applyAlignment="1">
      <alignment horizontal="right" wrapText="1"/>
    </xf>
    <xf numFmtId="169" fontId="23" fillId="0" borderId="1" xfId="0" applyNumberFormat="1" applyFont="1" applyBorder="1" applyAlignment="1">
      <alignment horizontal="right" vertical="center" wrapText="1"/>
    </xf>
    <xf numFmtId="171" fontId="6" fillId="16" borderId="1" xfId="0" applyNumberFormat="1" applyFont="1" applyFill="1" applyBorder="1" applyAlignment="1">
      <alignment horizontal="right" wrapText="1"/>
    </xf>
    <xf numFmtId="178" fontId="23" fillId="0" borderId="1" xfId="0" applyNumberFormat="1" applyFont="1" applyBorder="1" applyAlignment="1">
      <alignment horizontal="center" wrapText="1"/>
    </xf>
    <xf numFmtId="0" fontId="23" fillId="0" borderId="1" xfId="0" applyFont="1" applyBorder="1" applyAlignment="1">
      <alignment horizontal="center" vertical="center" wrapText="1"/>
    </xf>
    <xf numFmtId="0" fontId="6" fillId="0" borderId="1" xfId="0" applyFont="1" applyBorder="1" applyAlignment="1">
      <alignment wrapText="1"/>
    </xf>
    <xf numFmtId="169" fontId="0" fillId="0" borderId="1" xfId="0" applyNumberFormat="1" applyBorder="1" applyAlignment="1">
      <alignment wrapText="1"/>
    </xf>
    <xf numFmtId="0" fontId="3" fillId="0" borderId="0" xfId="0" applyFont="1" applyAlignment="1">
      <alignment vertical="center"/>
    </xf>
    <xf numFmtId="0" fontId="3" fillId="0" borderId="1" xfId="0" applyFont="1" applyBorder="1" applyAlignment="1">
      <alignment vertical="center" wrapText="1"/>
    </xf>
    <xf numFmtId="49" fontId="6" fillId="0" borderId="1" xfId="5" applyNumberFormat="1" applyFont="1" applyBorder="1" applyAlignment="1">
      <alignment horizontal="right" vertical="center"/>
    </xf>
    <xf numFmtId="0" fontId="46" fillId="0" borderId="0" xfId="0" applyFont="1" applyAlignment="1">
      <alignment vertical="center" wrapText="1"/>
    </xf>
    <xf numFmtId="169" fontId="4" fillId="0" borderId="1" xfId="0" applyNumberFormat="1" applyFont="1" applyBorder="1" applyAlignment="1">
      <alignment wrapText="1"/>
    </xf>
    <xf numFmtId="178" fontId="4" fillId="0" borderId="1" xfId="0" applyNumberFormat="1" applyFont="1" applyBorder="1" applyAlignment="1">
      <alignment horizontal="center" wrapText="1"/>
    </xf>
    <xf numFmtId="0" fontId="3" fillId="0" borderId="0" xfId="0" applyFont="1" applyAlignment="1">
      <alignment horizontal="center"/>
    </xf>
    <xf numFmtId="0" fontId="46" fillId="0" borderId="0" xfId="0" applyFont="1" applyAlignment="1">
      <alignment horizontal="center" wrapText="1"/>
    </xf>
    <xf numFmtId="169" fontId="4" fillId="0" borderId="1" xfId="0" applyNumberFormat="1" applyFont="1" applyBorder="1" applyAlignment="1">
      <alignment vertical="center" wrapText="1"/>
    </xf>
    <xf numFmtId="178" fontId="1" fillId="0" borderId="1" xfId="0" applyNumberFormat="1" applyFont="1" applyBorder="1" applyAlignment="1">
      <alignment horizontal="center" vertical="center" wrapText="1"/>
    </xf>
    <xf numFmtId="169" fontId="4" fillId="0" borderId="1" xfId="0" applyNumberFormat="1" applyFont="1" applyBorder="1"/>
    <xf numFmtId="177" fontId="3" fillId="0" borderId="0" xfId="0" applyNumberFormat="1" applyFont="1" applyAlignment="1">
      <alignment wrapText="1"/>
    </xf>
    <xf numFmtId="0" fontId="8" fillId="18" borderId="1" xfId="2" applyFont="1" applyFill="1" applyBorder="1" applyAlignment="1">
      <alignment vertical="center" wrapText="1"/>
    </xf>
    <xf numFmtId="8" fontId="6" fillId="0" borderId="1" xfId="2" applyNumberFormat="1" applyFont="1" applyBorder="1" applyAlignment="1">
      <alignment vertical="center" wrapText="1"/>
    </xf>
    <xf numFmtId="164" fontId="6" fillId="0" borderId="1" xfId="11" applyFont="1" applyBorder="1" applyAlignment="1">
      <alignment wrapText="1"/>
    </xf>
    <xf numFmtId="178" fontId="1" fillId="0" borderId="1" xfId="0" applyNumberFormat="1" applyFont="1" applyBorder="1" applyAlignment="1">
      <alignment horizontal="center" wrapText="1"/>
    </xf>
    <xf numFmtId="15" fontId="10" fillId="0" borderId="1" xfId="2" applyNumberFormat="1" applyBorder="1" applyAlignment="1">
      <alignment vertical="center"/>
    </xf>
    <xf numFmtId="169" fontId="1" fillId="0" borderId="1" xfId="0" applyNumberFormat="1" applyFont="1" applyBorder="1" applyAlignment="1">
      <alignment horizontal="right" vertical="center" wrapText="1"/>
    </xf>
    <xf numFmtId="15" fontId="10" fillId="0" borderId="1" xfId="2" applyNumberFormat="1" applyBorder="1"/>
    <xf numFmtId="169" fontId="6" fillId="0" borderId="1" xfId="5" applyNumberFormat="1" applyFont="1" applyFill="1" applyBorder="1" applyAlignment="1">
      <alignment wrapText="1"/>
    </xf>
    <xf numFmtId="178" fontId="7" fillId="14" borderId="1" xfId="2" applyNumberFormat="1" applyFont="1" applyFill="1" applyBorder="1" applyAlignment="1">
      <alignment horizontal="center" vertical="center"/>
    </xf>
    <xf numFmtId="172" fontId="16" fillId="0" borderId="1" xfId="11" applyNumberFormat="1" applyFont="1" applyBorder="1" applyAlignment="1">
      <alignment vertical="center" wrapText="1"/>
    </xf>
    <xf numFmtId="169" fontId="7" fillId="0" borderId="1" xfId="5" applyNumberFormat="1" applyFont="1" applyBorder="1" applyAlignment="1">
      <alignment vertical="center" wrapText="1"/>
    </xf>
    <xf numFmtId="172" fontId="7" fillId="0" borderId="1" xfId="11" applyNumberFormat="1" applyFont="1" applyBorder="1" applyAlignment="1">
      <alignment vertical="center" wrapText="1"/>
    </xf>
    <xf numFmtId="169" fontId="6" fillId="0" borderId="1" xfId="2" applyNumberFormat="1" applyFont="1" applyBorder="1" applyAlignment="1">
      <alignment vertical="center" wrapText="1"/>
    </xf>
    <xf numFmtId="165" fontId="6" fillId="0" borderId="1" xfId="2" applyNumberFormat="1" applyFont="1" applyBorder="1" applyAlignment="1">
      <alignment vertical="center" wrapText="1"/>
    </xf>
    <xf numFmtId="164" fontId="7" fillId="0" borderId="1" xfId="11" applyFont="1" applyBorder="1" applyAlignment="1">
      <alignment vertical="center" wrapText="1"/>
    </xf>
    <xf numFmtId="169" fontId="6" fillId="0" borderId="1" xfId="5" applyNumberFormat="1" applyFont="1" applyBorder="1" applyAlignment="1">
      <alignment horizontal="right"/>
    </xf>
    <xf numFmtId="164" fontId="6" fillId="0" borderId="1" xfId="11" applyFont="1" applyBorder="1" applyAlignment="1">
      <alignment vertical="center"/>
    </xf>
    <xf numFmtId="15" fontId="6" fillId="0" borderId="1" xfId="2" applyNumberFormat="1" applyFont="1" applyBorder="1" applyAlignment="1">
      <alignment vertical="center"/>
    </xf>
    <xf numFmtId="0" fontId="6" fillId="15" borderId="1" xfId="2" applyFont="1" applyFill="1" applyBorder="1" applyAlignment="1">
      <alignment vertical="center" wrapText="1"/>
    </xf>
    <xf numFmtId="164" fontId="0" fillId="15" borderId="1" xfId="11" applyFont="1" applyFill="1" applyBorder="1" applyAlignment="1"/>
    <xf numFmtId="49" fontId="6" fillId="15" borderId="1" xfId="5" applyNumberFormat="1" applyFont="1" applyFill="1" applyBorder="1" applyAlignment="1">
      <alignment horizontal="center"/>
    </xf>
    <xf numFmtId="169" fontId="6" fillId="15" borderId="1" xfId="5" applyNumberFormat="1" applyFont="1" applyFill="1" applyBorder="1" applyAlignment="1">
      <alignment horizontal="right"/>
    </xf>
    <xf numFmtId="178" fontId="4" fillId="15" borderId="1" xfId="0" applyNumberFormat="1" applyFont="1" applyFill="1" applyBorder="1" applyAlignment="1">
      <alignment horizontal="center" vertical="center" wrapText="1"/>
    </xf>
    <xf numFmtId="15" fontId="6" fillId="15" borderId="1" xfId="2" applyNumberFormat="1" applyFont="1" applyFill="1" applyBorder="1" applyAlignment="1">
      <alignment vertical="center" wrapText="1"/>
    </xf>
    <xf numFmtId="169" fontId="6" fillId="15" borderId="1" xfId="5" applyNumberFormat="1" applyFont="1" applyFill="1" applyBorder="1" applyAlignment="1">
      <alignment vertical="center" wrapText="1"/>
    </xf>
    <xf numFmtId="164" fontId="0" fillId="0" borderId="1" xfId="11" applyFont="1" applyBorder="1" applyAlignment="1"/>
    <xf numFmtId="169" fontId="6" fillId="0" borderId="1" xfId="2" applyNumberFormat="1" applyFont="1" applyBorder="1" applyAlignment="1">
      <alignment horizontal="right" vertical="center" wrapText="1"/>
    </xf>
    <xf numFmtId="49" fontId="6" fillId="0" borderId="1" xfId="2" applyNumberFormat="1" applyFont="1" applyBorder="1" applyAlignment="1">
      <alignment horizontal="center" vertical="center" wrapText="1"/>
    </xf>
    <xf numFmtId="0" fontId="7" fillId="14" borderId="1" xfId="2" applyFont="1" applyFill="1" applyBorder="1" applyAlignment="1">
      <alignment vertical="justify" wrapText="1"/>
    </xf>
    <xf numFmtId="49" fontId="7" fillId="14" borderId="1" xfId="2" applyNumberFormat="1" applyFont="1" applyFill="1" applyBorder="1" applyAlignment="1">
      <alignment vertical="justify" wrapText="1"/>
    </xf>
    <xf numFmtId="0" fontId="7" fillId="2" borderId="1" xfId="2" applyFont="1" applyFill="1" applyBorder="1" applyAlignment="1">
      <alignment vertical="center"/>
    </xf>
    <xf numFmtId="0" fontId="7" fillId="2" borderId="1" xfId="2" applyFont="1" applyFill="1" applyBorder="1" applyAlignment="1">
      <alignment horizontal="right" vertical="center"/>
    </xf>
    <xf numFmtId="178" fontId="7" fillId="2" borderId="1" xfId="2" applyNumberFormat="1" applyFont="1" applyFill="1" applyBorder="1" applyAlignment="1">
      <alignment horizontal="center" vertical="center"/>
    </xf>
    <xf numFmtId="0" fontId="7" fillId="2" borderId="1" xfId="2" applyFont="1" applyFill="1" applyBorder="1" applyAlignment="1">
      <alignment horizontal="center" vertical="center"/>
    </xf>
    <xf numFmtId="0" fontId="6" fillId="0" borderId="6" xfId="0" applyFont="1" applyBorder="1" applyAlignment="1">
      <alignment vertical="center" wrapText="1"/>
    </xf>
    <xf numFmtId="0" fontId="6" fillId="0" borderId="6" xfId="0" applyFont="1" applyBorder="1" applyAlignment="1">
      <alignment horizontal="right" vertical="center" wrapText="1"/>
    </xf>
    <xf numFmtId="178" fontId="6" fillId="0" borderId="6" xfId="0" applyNumberFormat="1"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21" fillId="0" borderId="1" xfId="12" applyFont="1" applyBorder="1" applyAlignment="1">
      <alignment horizontal="center" vertical="center"/>
    </xf>
    <xf numFmtId="17" fontId="21" fillId="0" borderId="1" xfId="12" applyNumberFormat="1" applyFont="1" applyBorder="1" applyAlignment="1">
      <alignment horizontal="center" vertical="center"/>
    </xf>
    <xf numFmtId="0" fontId="1" fillId="0" borderId="55" xfId="12" applyBorder="1"/>
    <xf numFmtId="0" fontId="1" fillId="0" borderId="56" xfId="12" applyBorder="1"/>
    <xf numFmtId="0" fontId="4" fillId="0" borderId="0" xfId="0" applyFont="1" applyFill="1" applyAlignment="1">
      <alignment wrapText="1"/>
    </xf>
    <xf numFmtId="0" fontId="3" fillId="0" borderId="0" xfId="0" applyFont="1" applyFill="1" applyAlignment="1">
      <alignment wrapText="1"/>
    </xf>
    <xf numFmtId="0" fontId="2" fillId="20" borderId="0" xfId="12" applyFont="1" applyFill="1" applyAlignment="1">
      <alignment horizontal="center" vertical="center" wrapText="1"/>
    </xf>
    <xf numFmtId="0" fontId="1" fillId="0" borderId="0" xfId="12" applyBorder="1"/>
    <xf numFmtId="0" fontId="1" fillId="0" borderId="21" xfId="12" applyBorder="1"/>
    <xf numFmtId="0" fontId="36" fillId="0" borderId="0" xfId="15" applyFont="1" applyAlignment="1">
      <alignment horizontal="center" vertical="center"/>
    </xf>
    <xf numFmtId="0" fontId="38" fillId="0" borderId="0" xfId="15" applyFont="1" applyAlignment="1">
      <alignment horizontal="center" vertical="center"/>
    </xf>
    <xf numFmtId="0" fontId="38" fillId="0" borderId="0" xfId="15" applyFont="1" applyAlignment="1">
      <alignment horizontal="center"/>
    </xf>
    <xf numFmtId="0" fontId="39" fillId="0" borderId="0" xfId="15" applyFont="1" applyAlignment="1">
      <alignment horizontal="center" vertical="center"/>
    </xf>
    <xf numFmtId="0" fontId="11" fillId="0" borderId="0" xfId="0" applyFont="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7"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17" fontId="21" fillId="0" borderId="1" xfId="12" applyNumberFormat="1" applyFont="1" applyBorder="1" applyAlignment="1">
      <alignment horizontal="center" vertical="center"/>
    </xf>
    <xf numFmtId="0" fontId="39" fillId="0" borderId="57" xfId="15" applyFont="1" applyBorder="1" applyAlignment="1">
      <alignment vertical="center"/>
    </xf>
    <xf numFmtId="9" fontId="18" fillId="17" borderId="4" xfId="1" applyFont="1" applyFill="1" applyBorder="1" applyAlignment="1">
      <alignment horizontal="center" vertical="center" wrapText="1"/>
    </xf>
    <xf numFmtId="1" fontId="18" fillId="17" borderId="12" xfId="0" applyNumberFormat="1" applyFont="1" applyFill="1" applyBorder="1" applyAlignment="1">
      <alignment vertical="center"/>
    </xf>
    <xf numFmtId="9" fontId="18" fillId="0" borderId="4" xfId="1" applyFont="1" applyBorder="1" applyAlignment="1">
      <alignment horizontal="center" vertical="center" wrapText="1"/>
    </xf>
    <xf numFmtId="9" fontId="18" fillId="0" borderId="4" xfId="1" applyFont="1" applyBorder="1" applyAlignment="1">
      <alignment horizontal="center"/>
    </xf>
    <xf numFmtId="1" fontId="11" fillId="0" borderId="27" xfId="0" applyNumberFormat="1" applyFont="1" applyBorder="1" applyAlignment="1">
      <alignment vertical="center"/>
    </xf>
    <xf numFmtId="9" fontId="18" fillId="0" borderId="7" xfId="1" applyFont="1" applyBorder="1" applyAlignment="1">
      <alignment horizontal="center"/>
    </xf>
    <xf numFmtId="9" fontId="18" fillId="0" borderId="34" xfId="1" applyFont="1" applyBorder="1" applyAlignment="1">
      <alignment horizontal="center"/>
    </xf>
    <xf numFmtId="14" fontId="28" fillId="0" borderId="11" xfId="12" applyNumberFormat="1" applyFont="1" applyBorder="1" applyAlignment="1">
      <alignment horizontal="center" vertical="center"/>
    </xf>
    <xf numFmtId="0" fontId="2" fillId="0" borderId="11" xfId="12" applyFont="1" applyBorder="1" applyAlignment="1">
      <alignment horizontal="center" vertical="center"/>
    </xf>
    <xf numFmtId="0" fontId="29" fillId="0" borderId="17" xfId="12" applyFont="1" applyBorder="1" applyAlignment="1">
      <alignment vertical="center"/>
    </xf>
    <xf numFmtId="0" fontId="29" fillId="0" borderId="15" xfId="12" applyFont="1" applyBorder="1" applyAlignment="1">
      <alignment vertical="center"/>
    </xf>
    <xf numFmtId="0" fontId="29" fillId="0" borderId="16" xfId="12" applyFont="1" applyBorder="1" applyAlignment="1">
      <alignment vertical="center"/>
    </xf>
    <xf numFmtId="0" fontId="29" fillId="0" borderId="21" xfId="12" applyFont="1" applyBorder="1" applyAlignment="1">
      <alignment vertical="center"/>
    </xf>
    <xf numFmtId="0" fontId="29" fillId="0" borderId="0" xfId="12" applyFont="1" applyAlignment="1">
      <alignment vertical="center"/>
    </xf>
    <xf numFmtId="0" fontId="29" fillId="0" borderId="20" xfId="12" applyFont="1" applyBorder="1" applyAlignment="1">
      <alignment vertical="center"/>
    </xf>
    <xf numFmtId="0" fontId="0" fillId="0" borderId="6" xfId="0" applyBorder="1"/>
    <xf numFmtId="0" fontId="0" fillId="0" borderId="9" xfId="0" applyBorder="1"/>
    <xf numFmtId="14" fontId="61" fillId="0" borderId="1" xfId="12" applyNumberFormat="1" applyFont="1" applyBorder="1" applyAlignment="1">
      <alignment horizontal="center" vertical="center"/>
    </xf>
    <xf numFmtId="0" fontId="2" fillId="0" borderId="1" xfId="12" applyFont="1" applyBorder="1" applyAlignment="1">
      <alignment horizontal="center" vertical="center"/>
    </xf>
    <xf numFmtId="17" fontId="2" fillId="0" borderId="1" xfId="12" applyNumberFormat="1" applyFont="1" applyBorder="1" applyAlignment="1">
      <alignment horizontal="center" vertical="center"/>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8" fontId="3" fillId="0" borderId="0" xfId="0" applyNumberFormat="1" applyFont="1" applyAlignment="1">
      <alignment horizontal="right" wrapText="1"/>
    </xf>
    <xf numFmtId="0" fontId="65" fillId="23" borderId="42" xfId="0" applyFont="1" applyFill="1" applyBorder="1" applyAlignment="1">
      <alignment horizontal="right" vertical="center" wrapText="1"/>
    </xf>
    <xf numFmtId="8" fontId="66" fillId="0" borderId="59" xfId="0" applyNumberFormat="1" applyFont="1" applyBorder="1" applyAlignment="1">
      <alignment horizontal="right" vertical="center" wrapText="1"/>
    </xf>
    <xf numFmtId="0" fontId="3" fillId="18" borderId="0" xfId="0" applyFont="1" applyFill="1" applyAlignment="1">
      <alignment wrapText="1"/>
    </xf>
    <xf numFmtId="0" fontId="3" fillId="18" borderId="1" xfId="0" applyFont="1" applyFill="1" applyBorder="1" applyAlignment="1">
      <alignment wrapText="1"/>
    </xf>
    <xf numFmtId="0" fontId="6" fillId="18" borderId="1" xfId="2" applyFont="1" applyFill="1" applyBorder="1" applyAlignment="1">
      <alignment wrapText="1"/>
    </xf>
    <xf numFmtId="175" fontId="6" fillId="18" borderId="1" xfId="5" applyNumberFormat="1" applyFont="1" applyFill="1" applyBorder="1" applyAlignment="1">
      <alignment wrapText="1"/>
    </xf>
    <xf numFmtId="49" fontId="6" fillId="18" borderId="1" xfId="5" applyNumberFormat="1" applyFont="1" applyFill="1" applyBorder="1" applyAlignment="1">
      <alignment horizontal="right"/>
    </xf>
    <xf numFmtId="171" fontId="17" fillId="24" borderId="1" xfId="0" applyNumberFormat="1" applyFont="1" applyFill="1" applyBorder="1" applyAlignment="1">
      <alignment horizontal="right" wrapText="1"/>
    </xf>
    <xf numFmtId="175" fontId="6" fillId="18" borderId="1" xfId="5" applyNumberFormat="1" applyFont="1" applyFill="1" applyBorder="1" applyAlignment="1">
      <alignment horizontal="right" wrapText="1"/>
    </xf>
    <xf numFmtId="178" fontId="6" fillId="18" borderId="1" xfId="2" applyNumberFormat="1" applyFont="1" applyFill="1" applyBorder="1" applyAlignment="1">
      <alignment horizontal="center" wrapText="1"/>
    </xf>
    <xf numFmtId="0" fontId="18" fillId="18" borderId="1" xfId="0" applyFont="1" applyFill="1" applyBorder="1" applyAlignment="1">
      <alignment wrapText="1"/>
    </xf>
    <xf numFmtId="175" fontId="1" fillId="18" borderId="1" xfId="0" applyNumberFormat="1" applyFont="1" applyFill="1" applyBorder="1" applyAlignment="1">
      <alignment wrapText="1"/>
    </xf>
    <xf numFmtId="38" fontId="6" fillId="18" borderId="1" xfId="2" applyNumberFormat="1" applyFont="1" applyFill="1" applyBorder="1" applyAlignment="1">
      <alignment horizontal="center" wrapText="1"/>
    </xf>
    <xf numFmtId="0" fontId="4" fillId="18" borderId="1" xfId="0" applyFont="1" applyFill="1" applyBorder="1" applyAlignment="1">
      <alignment horizontal="center" wrapText="1"/>
    </xf>
    <xf numFmtId="0" fontId="6" fillId="18" borderId="1" xfId="2" applyFont="1" applyFill="1" applyBorder="1" applyAlignment="1">
      <alignment horizontal="center" wrapText="1"/>
    </xf>
    <xf numFmtId="0" fontId="46" fillId="18" borderId="0" xfId="0" applyFont="1" applyFill="1" applyAlignment="1">
      <alignment wrapText="1"/>
    </xf>
    <xf numFmtId="38" fontId="6" fillId="6" borderId="1" xfId="0" applyNumberFormat="1" applyFont="1" applyFill="1" applyBorder="1" applyAlignment="1">
      <alignment horizontal="center" vertical="center" wrapText="1"/>
    </xf>
    <xf numFmtId="0" fontId="12" fillId="12" borderId="13" xfId="0" applyFont="1" applyFill="1" applyBorder="1" applyAlignment="1">
      <alignment horizontal="center" vertical="center" textRotation="90" wrapText="1"/>
    </xf>
    <xf numFmtId="0" fontId="21" fillId="0" borderId="1" xfId="12" applyFont="1" applyBorder="1" applyAlignment="1">
      <alignment horizontal="center" vertical="center"/>
    </xf>
    <xf numFmtId="0" fontId="2" fillId="0" borderId="7" xfId="12" applyFont="1" applyBorder="1" applyAlignment="1">
      <alignment horizontal="center" vertical="center"/>
    </xf>
    <xf numFmtId="0" fontId="36" fillId="0" borderId="1" xfId="15" applyFont="1" applyBorder="1" applyAlignment="1">
      <alignment horizontal="center" vertical="center" wrapText="1"/>
    </xf>
    <xf numFmtId="0" fontId="38" fillId="0" borderId="1" xfId="15"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8" fillId="0" borderId="0" xfId="0" applyFont="1" applyAlignment="1">
      <alignment horizontal="left" vertical="top"/>
    </xf>
    <xf numFmtId="0" fontId="21" fillId="0" borderId="1" xfId="12" applyFont="1" applyBorder="1" applyAlignment="1">
      <alignment horizontal="center" vertical="center"/>
    </xf>
    <xf numFmtId="0" fontId="4" fillId="0" borderId="1"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0" fontId="6" fillId="0" borderId="1" xfId="0" applyFont="1" applyBorder="1" applyAlignment="1">
      <alignment horizontal="center" vertical="center" wrapText="1"/>
    </xf>
    <xf numFmtId="0" fontId="7" fillId="0" borderId="1" xfId="2" applyFont="1" applyBorder="1" applyAlignment="1">
      <alignment horizontal="center" vertical="center"/>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1" xfId="2" applyFont="1" applyBorder="1" applyAlignment="1">
      <alignment horizontal="center" vertical="center" wrapText="1"/>
    </xf>
    <xf numFmtId="0" fontId="7" fillId="3" borderId="1" xfId="0" applyFont="1" applyFill="1" applyBorder="1" applyAlignment="1">
      <alignment horizontal="center" vertical="center" wrapText="1"/>
    </xf>
    <xf numFmtId="0" fontId="3" fillId="0" borderId="0" xfId="0" applyFont="1" applyAlignment="1">
      <alignment horizontal="center" wrapText="1"/>
    </xf>
    <xf numFmtId="0" fontId="6" fillId="0" borderId="1" xfId="0" applyFont="1" applyBorder="1" applyAlignment="1">
      <alignment horizontal="center" wrapText="1"/>
    </xf>
    <xf numFmtId="0" fontId="6" fillId="0" borderId="2" xfId="2" applyFont="1" applyBorder="1" applyAlignment="1">
      <alignment horizontal="center" vertical="center"/>
    </xf>
    <xf numFmtId="0" fontId="6" fillId="0" borderId="4" xfId="2" applyFont="1" applyBorder="1" applyAlignment="1">
      <alignment horizontal="center" vertical="center"/>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7"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38" fontId="10" fillId="0" borderId="2" xfId="0" applyNumberFormat="1" applyFont="1" applyBorder="1" applyAlignment="1">
      <alignment vertical="center" wrapText="1"/>
    </xf>
    <xf numFmtId="38" fontId="10" fillId="0" borderId="3" xfId="0" applyNumberFormat="1" applyFont="1" applyBorder="1" applyAlignment="1">
      <alignment vertical="center" wrapText="1"/>
    </xf>
    <xf numFmtId="38" fontId="10" fillId="0" borderId="4" xfId="0" applyNumberFormat="1" applyFont="1" applyBorder="1" applyAlignment="1">
      <alignment vertical="center" wrapText="1"/>
    </xf>
    <xf numFmtId="38" fontId="10" fillId="0" borderId="2" xfId="0" applyNumberFormat="1" applyFont="1" applyBorder="1" applyAlignment="1">
      <alignment horizontal="left" vertical="center" wrapText="1"/>
    </xf>
    <xf numFmtId="38" fontId="10" fillId="0" borderId="3" xfId="0" applyNumberFormat="1" applyFont="1" applyBorder="1" applyAlignment="1">
      <alignment horizontal="left" vertical="center" wrapText="1"/>
    </xf>
    <xf numFmtId="38" fontId="10" fillId="0" borderId="4" xfId="0" applyNumberFormat="1" applyFont="1" applyBorder="1" applyAlignment="1">
      <alignment horizontal="left" vertical="center" wrapText="1"/>
    </xf>
    <xf numFmtId="14" fontId="6" fillId="0" borderId="2" xfId="0" applyNumberFormat="1" applyFont="1" applyBorder="1" applyAlignment="1">
      <alignment horizontal="center" vertical="center" wrapText="1"/>
    </xf>
    <xf numFmtId="14" fontId="6" fillId="0" borderId="4" xfId="0" applyNumberFormat="1" applyFont="1" applyBorder="1" applyAlignment="1">
      <alignment horizontal="center" vertical="center" wrapText="1"/>
    </xf>
    <xf numFmtId="2" fontId="4" fillId="0" borderId="5" xfId="1" applyNumberFormat="1" applyFont="1" applyBorder="1" applyAlignment="1">
      <alignment horizontal="center" vertical="center" wrapText="1"/>
    </xf>
    <xf numFmtId="2" fontId="4" fillId="0" borderId="7" xfId="1" applyNumberFormat="1" applyFont="1" applyBorder="1" applyAlignment="1">
      <alignment horizontal="center" vertical="center" wrapText="1"/>
    </xf>
    <xf numFmtId="2" fontId="4" fillId="0" borderId="13" xfId="1" applyNumberFormat="1" applyFont="1" applyBorder="1" applyAlignment="1">
      <alignment horizontal="center" vertical="center" wrapText="1"/>
    </xf>
    <xf numFmtId="2" fontId="4" fillId="0" borderId="14" xfId="1" applyNumberFormat="1" applyFont="1" applyBorder="1" applyAlignment="1">
      <alignment horizontal="center" vertical="center" wrapText="1"/>
    </xf>
    <xf numFmtId="2" fontId="4" fillId="0" borderId="8" xfId="1" applyNumberFormat="1" applyFont="1" applyBorder="1" applyAlignment="1">
      <alignment horizontal="center" vertical="center" wrapText="1"/>
    </xf>
    <xf numFmtId="2" fontId="4" fillId="0" borderId="10" xfId="1" applyNumberFormat="1" applyFont="1" applyBorder="1" applyAlignment="1">
      <alignment horizontal="center" vertical="center" wrapText="1"/>
    </xf>
    <xf numFmtId="1" fontId="4" fillId="0" borderId="11" xfId="0" applyNumberFormat="1" applyFont="1" applyBorder="1" applyAlignment="1">
      <alignment horizontal="center" vertical="center"/>
    </xf>
    <xf numFmtId="1" fontId="4" fillId="0" borderId="46" xfId="0" applyNumberFormat="1" applyFont="1" applyBorder="1" applyAlignment="1">
      <alignment horizontal="center" vertical="center"/>
    </xf>
    <xf numFmtId="1" fontId="4" fillId="0" borderId="12" xfId="0" applyNumberFormat="1" applyFont="1" applyBorder="1" applyAlignment="1">
      <alignment horizontal="center" vertical="center"/>
    </xf>
    <xf numFmtId="49" fontId="4" fillId="0" borderId="2" xfId="0" applyNumberFormat="1" applyFont="1" applyBorder="1" applyAlignment="1">
      <alignment horizontal="center" vertical="center" wrapText="1"/>
    </xf>
    <xf numFmtId="49" fontId="4" fillId="0" borderId="4" xfId="0" applyNumberFormat="1" applyFont="1" applyBorder="1" applyAlignment="1">
      <alignment horizontal="center" vertical="center" wrapText="1"/>
    </xf>
    <xf numFmtId="38" fontId="6" fillId="6" borderId="1" xfId="0" applyNumberFormat="1" applyFont="1" applyFill="1" applyBorder="1" applyAlignment="1">
      <alignment horizontal="left" vertical="center" wrapText="1"/>
    </xf>
    <xf numFmtId="14" fontId="6" fillId="6" borderId="1" xfId="0" applyNumberFormat="1" applyFont="1" applyFill="1" applyBorder="1" applyAlignment="1">
      <alignment horizontal="center" vertical="center" wrapText="1"/>
    </xf>
    <xf numFmtId="0" fontId="6" fillId="0" borderId="2" xfId="2" applyFont="1" applyBorder="1" applyAlignment="1">
      <alignment horizontal="center" vertical="center" wrapText="1"/>
    </xf>
    <xf numFmtId="0" fontId="6" fillId="0" borderId="4" xfId="2" applyFont="1" applyBorder="1" applyAlignment="1">
      <alignment horizontal="center" vertical="center" wrapText="1"/>
    </xf>
    <xf numFmtId="15" fontId="6"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38" fontId="7" fillId="3" borderId="5" xfId="0" applyNumberFormat="1" applyFont="1" applyFill="1" applyBorder="1" applyAlignment="1">
      <alignment horizontal="center" vertical="center" wrapText="1"/>
    </xf>
    <xf numFmtId="38" fontId="7" fillId="3" borderId="6" xfId="0" applyNumberFormat="1" applyFont="1" applyFill="1" applyBorder="1" applyAlignment="1">
      <alignment horizontal="center" vertical="center" wrapText="1"/>
    </xf>
    <xf numFmtId="38" fontId="7" fillId="3" borderId="7" xfId="0" applyNumberFormat="1" applyFont="1" applyFill="1" applyBorder="1" applyAlignment="1">
      <alignment horizontal="center" vertical="center" wrapText="1"/>
    </xf>
    <xf numFmtId="0" fontId="7" fillId="0" borderId="1" xfId="2" applyFont="1" applyBorder="1" applyAlignment="1">
      <alignment horizontal="center" vertical="center"/>
    </xf>
    <xf numFmtId="0" fontId="6" fillId="0" borderId="3" xfId="2" applyFont="1" applyBorder="1" applyAlignment="1">
      <alignment horizontal="center" vertical="center"/>
    </xf>
    <xf numFmtId="38" fontId="7" fillId="3" borderId="2" xfId="0" applyNumberFormat="1" applyFont="1" applyFill="1" applyBorder="1" applyAlignment="1">
      <alignment horizontal="center" vertical="center" wrapText="1"/>
    </xf>
    <xf numFmtId="38" fontId="7" fillId="3" borderId="4" xfId="0" applyNumberFormat="1" applyFont="1" applyFill="1" applyBorder="1" applyAlignment="1">
      <alignment horizontal="center" vertical="center" wrapText="1"/>
    </xf>
    <xf numFmtId="38" fontId="7" fillId="3" borderId="3" xfId="0" applyNumberFormat="1" applyFont="1" applyFill="1" applyBorder="1" applyAlignment="1">
      <alignment horizontal="center" vertical="center" wrapText="1"/>
    </xf>
    <xf numFmtId="2" fontId="4" fillId="0" borderId="2" xfId="1" applyNumberFormat="1" applyFont="1" applyBorder="1" applyAlignment="1">
      <alignment horizontal="center" vertical="center" wrapText="1"/>
    </xf>
    <xf numFmtId="2" fontId="4" fillId="0" borderId="4" xfId="1" applyNumberFormat="1"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Border="1" applyAlignment="1">
      <alignment horizontal="center" vertical="center" wrapText="1"/>
    </xf>
    <xf numFmtId="0" fontId="6" fillId="0" borderId="14" xfId="0" applyFont="1" applyBorder="1" applyAlignment="1">
      <alignment horizontal="center" vertical="center" wrapText="1"/>
    </xf>
    <xf numFmtId="0" fontId="41" fillId="0" borderId="5" xfId="0" applyFont="1" applyBorder="1" applyAlignment="1">
      <alignment horizontal="center" vertical="center" wrapText="1"/>
    </xf>
    <xf numFmtId="0" fontId="41" fillId="0" borderId="7" xfId="0" applyFont="1" applyBorder="1" applyAlignment="1">
      <alignment horizontal="center" vertical="center" wrapText="1"/>
    </xf>
    <xf numFmtId="0" fontId="41" fillId="0" borderId="13" xfId="0" applyFont="1" applyBorder="1" applyAlignment="1">
      <alignment horizontal="center" vertical="center" wrapText="1"/>
    </xf>
    <xf numFmtId="0" fontId="41" fillId="0" borderId="14" xfId="0" applyFont="1" applyBorder="1" applyAlignment="1">
      <alignment horizontal="center" vertical="center" wrapText="1"/>
    </xf>
    <xf numFmtId="0" fontId="41" fillId="0" borderId="8" xfId="0" applyFont="1" applyBorder="1" applyAlignment="1">
      <alignment horizontal="center" vertical="center" wrapText="1"/>
    </xf>
    <xf numFmtId="0" fontId="41" fillId="0" borderId="10" xfId="0" applyFont="1" applyBorder="1" applyAlignment="1">
      <alignment horizontal="center" vertical="center" wrapText="1"/>
    </xf>
    <xf numFmtId="0" fontId="6" fillId="0" borderId="2" xfId="2" applyFont="1" applyBorder="1" applyAlignment="1">
      <alignment horizontal="left" vertical="center" wrapText="1"/>
    </xf>
    <xf numFmtId="0" fontId="6" fillId="0" borderId="3" xfId="2" applyFont="1" applyBorder="1" applyAlignment="1">
      <alignment horizontal="left" vertical="center" wrapText="1"/>
    </xf>
    <xf numFmtId="0" fontId="6" fillId="0" borderId="4" xfId="2" applyFont="1" applyBorder="1" applyAlignment="1">
      <alignment horizontal="left" vertical="center" wrapText="1"/>
    </xf>
    <xf numFmtId="0" fontId="6" fillId="0" borderId="3" xfId="2" applyFont="1" applyBorder="1" applyAlignment="1">
      <alignment horizontal="center" vertical="center" wrapText="1"/>
    </xf>
    <xf numFmtId="0" fontId="17" fillId="0" borderId="2" xfId="0" applyFont="1" applyBorder="1" applyAlignment="1">
      <alignment horizontal="center" vertical="center" wrapText="1"/>
    </xf>
    <xf numFmtId="0" fontId="17" fillId="0" borderId="4" xfId="0" applyFont="1" applyBorder="1" applyAlignment="1">
      <alignment horizontal="center" vertical="center" wrapText="1"/>
    </xf>
    <xf numFmtId="0" fontId="12" fillId="12" borderId="11" xfId="0" applyFont="1" applyFill="1" applyBorder="1" applyAlignment="1">
      <alignment horizontal="center" vertical="center" textRotation="90" wrapText="1"/>
    </xf>
    <xf numFmtId="0" fontId="12" fillId="12" borderId="46" xfId="0" applyFont="1" applyFill="1" applyBorder="1" applyAlignment="1">
      <alignment horizontal="center" vertical="center" textRotation="90" wrapText="1"/>
    </xf>
    <xf numFmtId="0" fontId="7" fillId="11" borderId="2" xfId="0" applyFont="1" applyFill="1" applyBorder="1" applyAlignment="1">
      <alignment horizontal="center" vertical="center" wrapText="1"/>
    </xf>
    <xf numFmtId="0" fontId="7" fillId="11" borderId="3" xfId="0" applyFont="1" applyFill="1" applyBorder="1" applyAlignment="1">
      <alignment horizontal="center" vertical="center" wrapText="1"/>
    </xf>
    <xf numFmtId="0" fontId="7" fillId="11" borderId="4" xfId="0" applyFont="1" applyFill="1" applyBorder="1" applyAlignment="1">
      <alignment horizontal="center" vertical="center" wrapText="1"/>
    </xf>
    <xf numFmtId="0" fontId="2" fillId="12" borderId="2" xfId="0"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4" xfId="0" applyFont="1" applyFill="1" applyBorder="1" applyAlignment="1">
      <alignment horizontal="center" vertical="center" wrapText="1"/>
    </xf>
    <xf numFmtId="10" fontId="7" fillId="0" borderId="1" xfId="1" applyNumberFormat="1" applyFont="1" applyBorder="1" applyAlignment="1">
      <alignment horizontal="center" vertical="center" wrapText="1"/>
    </xf>
    <xf numFmtId="0" fontId="6" fillId="0" borderId="0" xfId="0" applyFont="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5" fillId="10" borderId="2" xfId="0" applyFont="1" applyFill="1" applyBorder="1" applyAlignment="1">
      <alignment horizontal="left" vertical="center" wrapText="1"/>
    </xf>
    <xf numFmtId="0" fontId="5" fillId="10" borderId="3" xfId="0" applyFont="1" applyFill="1" applyBorder="1" applyAlignment="1">
      <alignment horizontal="left" vertical="center" wrapText="1"/>
    </xf>
    <xf numFmtId="0" fontId="5" fillId="10" borderId="4" xfId="0" applyFont="1" applyFill="1" applyBorder="1" applyAlignment="1">
      <alignment horizontal="left" vertical="center" wrapText="1"/>
    </xf>
    <xf numFmtId="0" fontId="5" fillId="0" borderId="2" xfId="0" applyFont="1" applyBorder="1" applyAlignment="1">
      <alignment horizontal="center" vertical="center" wrapText="1"/>
    </xf>
    <xf numFmtId="0" fontId="5" fillId="0" borderId="4" xfId="0" applyFont="1" applyBorder="1" applyAlignment="1">
      <alignment horizontal="center" vertical="center" wrapText="1"/>
    </xf>
    <xf numFmtId="49" fontId="4" fillId="0" borderId="2" xfId="0" applyNumberFormat="1" applyFont="1" applyBorder="1" applyAlignment="1">
      <alignment horizontal="left" vertical="center" wrapText="1"/>
    </xf>
    <xf numFmtId="49" fontId="4" fillId="0" borderId="4" xfId="0" applyNumberFormat="1" applyFont="1" applyBorder="1" applyAlignment="1">
      <alignment horizontal="left" vertical="center" wrapText="1"/>
    </xf>
    <xf numFmtId="38" fontId="4" fillId="6" borderId="1" xfId="0" applyNumberFormat="1" applyFont="1" applyFill="1" applyBorder="1" applyAlignment="1">
      <alignment horizontal="justify"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7" fillId="0" borderId="5" xfId="2" applyFont="1" applyBorder="1" applyAlignment="1">
      <alignment horizontal="center" vertical="center" wrapText="1"/>
    </xf>
    <xf numFmtId="0" fontId="7" fillId="0" borderId="6"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9" xfId="2" applyFont="1" applyBorder="1" applyAlignment="1">
      <alignment horizontal="center" vertical="center" wrapText="1"/>
    </xf>
    <xf numFmtId="0" fontId="7" fillId="0" borderId="10" xfId="2" applyFont="1" applyBorder="1" applyAlignment="1">
      <alignment horizontal="center" vertical="center" wrapText="1"/>
    </xf>
    <xf numFmtId="0"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9" fontId="6" fillId="0" borderId="1" xfId="0" applyNumberFormat="1" applyFont="1" applyFill="1" applyBorder="1" applyAlignment="1">
      <alignment horizontal="center" vertical="center" wrapText="1"/>
    </xf>
    <xf numFmtId="0" fontId="7" fillId="8" borderId="8" xfId="0" applyFont="1" applyFill="1" applyBorder="1" applyAlignment="1">
      <alignment horizontal="left" vertical="center" wrapText="1"/>
    </xf>
    <xf numFmtId="0" fontId="7" fillId="8" borderId="9" xfId="0" applyFont="1" applyFill="1" applyBorder="1" applyAlignment="1">
      <alignment horizontal="left" vertical="center" wrapText="1"/>
    </xf>
    <xf numFmtId="0" fontId="7" fillId="8" borderId="10" xfId="0" applyFont="1" applyFill="1" applyBorder="1" applyAlignment="1">
      <alignment horizontal="left" vertical="center" wrapText="1"/>
    </xf>
    <xf numFmtId="38" fontId="4" fillId="6" borderId="1" xfId="0" applyNumberFormat="1" applyFont="1" applyFill="1" applyBorder="1" applyAlignment="1">
      <alignment horizontal="left" vertical="center" wrapText="1"/>
    </xf>
    <xf numFmtId="38" fontId="6" fillId="0" borderId="11" xfId="0" applyNumberFormat="1" applyFont="1" applyFill="1" applyBorder="1" applyAlignment="1">
      <alignment horizontal="left" vertical="center" wrapText="1"/>
    </xf>
    <xf numFmtId="9" fontId="6" fillId="0" borderId="11" xfId="0" applyNumberFormat="1" applyFont="1" applyFill="1" applyBorder="1" applyAlignment="1">
      <alignment horizontal="center" vertical="center" wrapText="1"/>
    </xf>
    <xf numFmtId="14" fontId="6" fillId="0" borderId="11" xfId="0" applyNumberFormat="1" applyFont="1" applyFill="1" applyBorder="1" applyAlignment="1">
      <alignment horizontal="center" vertical="center" wrapText="1"/>
    </xf>
    <xf numFmtId="0" fontId="6" fillId="0" borderId="11" xfId="0" applyNumberFormat="1" applyFont="1" applyFill="1" applyBorder="1" applyAlignment="1">
      <alignment horizontal="center" vertical="center" wrapText="1"/>
    </xf>
    <xf numFmtId="38" fontId="6" fillId="0" borderId="1" xfId="0" applyNumberFormat="1" applyFont="1" applyFill="1" applyBorder="1" applyAlignment="1">
      <alignment vertical="center" wrapText="1"/>
    </xf>
    <xf numFmtId="38" fontId="6" fillId="0" borderId="1" xfId="0" applyNumberFormat="1" applyFont="1" applyFill="1" applyBorder="1" applyAlignment="1">
      <alignment horizontal="center" vertical="center" wrapText="1"/>
    </xf>
    <xf numFmtId="38" fontId="6" fillId="0" borderId="1" xfId="0" applyNumberFormat="1" applyFont="1" applyFill="1" applyBorder="1" applyAlignment="1">
      <alignment horizontal="left" vertical="center" wrapText="1"/>
    </xf>
    <xf numFmtId="14" fontId="6" fillId="0" borderId="1" xfId="0" applyNumberFormat="1" applyFont="1" applyFill="1" applyBorder="1" applyAlignment="1">
      <alignment horizontal="center" vertical="center" wrapText="1"/>
    </xf>
    <xf numFmtId="0" fontId="7" fillId="3" borderId="5" xfId="0" applyFont="1" applyFill="1" applyBorder="1" applyAlignment="1">
      <alignment horizontal="center" vertical="center" wrapText="1"/>
    </xf>
    <xf numFmtId="0" fontId="7" fillId="3" borderId="7" xfId="0" applyFont="1" applyFill="1" applyBorder="1" applyAlignment="1">
      <alignment horizontal="center" vertical="center" wrapText="1"/>
    </xf>
    <xf numFmtId="1" fontId="5" fillId="0" borderId="2"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6" fillId="0" borderId="1" xfId="2" applyFont="1" applyBorder="1" applyAlignment="1">
      <alignment horizontal="center" vertical="center" wrapText="1"/>
    </xf>
    <xf numFmtId="0" fontId="6" fillId="0" borderId="1" xfId="0" applyFont="1" applyBorder="1" applyAlignment="1">
      <alignment horizontal="left" vertical="center" wrapText="1"/>
    </xf>
    <xf numFmtId="0" fontId="6" fillId="0" borderId="26" xfId="0" applyFont="1" applyBorder="1" applyAlignment="1">
      <alignment horizontal="left" vertical="center" wrapText="1"/>
    </xf>
    <xf numFmtId="38" fontId="6" fillId="0" borderId="11" xfId="0" applyNumberFormat="1" applyFont="1" applyFill="1" applyBorder="1" applyAlignment="1">
      <alignment vertical="center" wrapText="1"/>
    </xf>
    <xf numFmtId="0" fontId="4" fillId="0" borderId="11" xfId="0" applyNumberFormat="1" applyFont="1" applyFill="1" applyBorder="1" applyAlignment="1">
      <alignment horizontal="center" vertical="center" wrapText="1"/>
    </xf>
    <xf numFmtId="38" fontId="4" fillId="0" borderId="1" xfId="0" applyNumberFormat="1" applyFont="1" applyFill="1" applyBorder="1" applyAlignment="1">
      <alignment horizontal="left" vertical="center" wrapText="1"/>
    </xf>
    <xf numFmtId="9" fontId="4" fillId="0" borderId="1" xfId="0" applyNumberFormat="1" applyFont="1" applyFill="1" applyBorder="1" applyAlignment="1">
      <alignment horizontal="center" vertical="center" wrapText="1"/>
    </xf>
    <xf numFmtId="10" fontId="6" fillId="22" borderId="1" xfId="1" applyNumberFormat="1" applyFont="1" applyFill="1" applyBorder="1" applyAlignment="1">
      <alignment horizontal="center" vertical="center" wrapText="1"/>
    </xf>
    <xf numFmtId="10" fontId="6" fillId="0" borderId="2" xfId="1" applyNumberFormat="1" applyFont="1" applyBorder="1" applyAlignment="1">
      <alignment horizontal="center" vertical="center" wrapText="1"/>
    </xf>
    <xf numFmtId="10" fontId="6" fillId="0" borderId="4" xfId="1" applyNumberFormat="1" applyFont="1" applyBorder="1" applyAlignment="1">
      <alignment horizontal="center" vertical="center" wrapText="1"/>
    </xf>
    <xf numFmtId="15" fontId="6" fillId="0" borderId="2" xfId="0" applyNumberFormat="1" applyFont="1" applyBorder="1" applyAlignment="1">
      <alignment horizontal="center" vertical="center" wrapText="1"/>
    </xf>
    <xf numFmtId="15" fontId="6" fillId="0" borderId="4" xfId="0" applyNumberFormat="1" applyFont="1" applyBorder="1" applyAlignment="1">
      <alignment horizontal="center" vertical="center" wrapText="1"/>
    </xf>
    <xf numFmtId="0" fontId="42" fillId="0" borderId="2" xfId="2" applyFont="1" applyBorder="1" applyAlignment="1">
      <alignment horizontal="left" vertical="center" wrapText="1"/>
    </xf>
    <xf numFmtId="0" fontId="12" fillId="0" borderId="2" xfId="0" applyFont="1" applyBorder="1" applyAlignment="1">
      <alignment horizontal="center" vertical="center" textRotation="90" wrapText="1"/>
    </xf>
    <xf numFmtId="0" fontId="12" fillId="0" borderId="3" xfId="0" applyFont="1" applyBorder="1" applyAlignment="1">
      <alignment horizontal="center" vertical="center" textRotation="90" wrapText="1"/>
    </xf>
    <xf numFmtId="0" fontId="12" fillId="0" borderId="4" xfId="0" applyFont="1" applyBorder="1" applyAlignment="1">
      <alignment horizontal="center" vertical="center" textRotation="90" wrapText="1"/>
    </xf>
    <xf numFmtId="0" fontId="6" fillId="0" borderId="1" xfId="0" applyNumberFormat="1" applyFont="1" applyFill="1" applyBorder="1" applyAlignment="1">
      <alignment horizontal="center" vertical="center"/>
    </xf>
    <xf numFmtId="0" fontId="6" fillId="0" borderId="11" xfId="0" applyNumberFormat="1" applyFont="1" applyFill="1" applyBorder="1" applyAlignment="1">
      <alignment horizontal="center" vertical="center"/>
    </xf>
    <xf numFmtId="38" fontId="7" fillId="0" borderId="1" xfId="0" applyNumberFormat="1" applyFont="1" applyFill="1" applyBorder="1" applyAlignment="1">
      <alignment horizontal="center" vertical="center" wrapText="1"/>
    </xf>
    <xf numFmtId="38" fontId="6" fillId="0" borderId="11" xfId="0" applyNumberFormat="1" applyFont="1" applyFill="1" applyBorder="1" applyAlignment="1">
      <alignment horizontal="center" vertical="center" wrapText="1"/>
    </xf>
    <xf numFmtId="0" fontId="34" fillId="0" borderId="1" xfId="0" applyFont="1" applyBorder="1" applyAlignment="1">
      <alignment horizontal="center" vertical="center" wrapText="1"/>
    </xf>
    <xf numFmtId="0" fontId="4" fillId="0" borderId="1" xfId="0" applyNumberFormat="1" applyFont="1" applyFill="1" applyBorder="1" applyAlignment="1">
      <alignment horizontal="center" vertical="center" wrapText="1"/>
    </xf>
    <xf numFmtId="14" fontId="4" fillId="0" borderId="1" xfId="0" applyNumberFormat="1" applyFont="1" applyFill="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5" fillId="0" borderId="8" xfId="0" applyFont="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6" fillId="4" borderId="5" xfId="0" applyFont="1" applyFill="1" applyBorder="1" applyAlignment="1">
      <alignment horizontal="center" vertical="center" wrapText="1"/>
    </xf>
    <xf numFmtId="0" fontId="6" fillId="4" borderId="6" xfId="0" applyFont="1" applyFill="1" applyBorder="1" applyAlignment="1">
      <alignment horizontal="center" vertical="center" wrapText="1"/>
    </xf>
    <xf numFmtId="0" fontId="6" fillId="4" borderId="7" xfId="0" applyFont="1" applyFill="1" applyBorder="1" applyAlignment="1">
      <alignment horizontal="center" vertical="center" wrapText="1"/>
    </xf>
    <xf numFmtId="0" fontId="6" fillId="4" borderId="8" xfId="0" applyFont="1" applyFill="1" applyBorder="1" applyAlignment="1">
      <alignment horizontal="center" vertical="center" wrapText="1"/>
    </xf>
    <xf numFmtId="0" fontId="6" fillId="4" borderId="9" xfId="0" applyFont="1" applyFill="1" applyBorder="1" applyAlignment="1">
      <alignment horizontal="center" vertical="center" wrapText="1"/>
    </xf>
    <xf numFmtId="0" fontId="6" fillId="4" borderId="10" xfId="0" applyFont="1" applyFill="1" applyBorder="1" applyAlignment="1">
      <alignment horizontal="center" vertical="center" wrapText="1"/>
    </xf>
    <xf numFmtId="0" fontId="6" fillId="4" borderId="13" xfId="0" applyFont="1" applyFill="1" applyBorder="1" applyAlignment="1">
      <alignment horizontal="center" vertical="center" wrapText="1"/>
    </xf>
    <xf numFmtId="0" fontId="6" fillId="4" borderId="0" xfId="0" applyFont="1" applyFill="1" applyAlignment="1">
      <alignment horizontal="center" vertical="center" wrapText="1"/>
    </xf>
    <xf numFmtId="0" fontId="6" fillId="4" borderId="14" xfId="0" applyFont="1" applyFill="1" applyBorder="1" applyAlignment="1">
      <alignment horizontal="center" vertical="center" wrapText="1"/>
    </xf>
    <xf numFmtId="0" fontId="5" fillId="0" borderId="13" xfId="0" applyFont="1" applyBorder="1" applyAlignment="1">
      <alignment horizontal="center" vertical="center" wrapText="1"/>
    </xf>
    <xf numFmtId="0" fontId="5" fillId="0" borderId="0" xfId="0" applyFont="1" applyAlignment="1">
      <alignment horizontal="center" vertical="center" wrapText="1"/>
    </xf>
    <xf numFmtId="0" fontId="5" fillId="0" borderId="14"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40" fontId="7" fillId="5" borderId="2" xfId="0" applyNumberFormat="1" applyFont="1" applyFill="1" applyBorder="1" applyAlignment="1">
      <alignment horizontal="center" vertical="center"/>
    </xf>
    <xf numFmtId="40" fontId="7" fillId="5" borderId="3" xfId="0" applyNumberFormat="1" applyFont="1" applyFill="1" applyBorder="1" applyAlignment="1">
      <alignment horizontal="center" vertical="center"/>
    </xf>
    <xf numFmtId="40" fontId="7" fillId="5" borderId="4" xfId="0" applyNumberFormat="1" applyFont="1" applyFill="1" applyBorder="1" applyAlignment="1">
      <alignment horizontal="center" vertical="center"/>
    </xf>
    <xf numFmtId="0" fontId="5" fillId="0" borderId="1" xfId="0" applyFont="1" applyBorder="1" applyAlignment="1">
      <alignment horizontal="center" vertical="center" wrapText="1"/>
    </xf>
    <xf numFmtId="0" fontId="6" fillId="4" borderId="2" xfId="0" applyFont="1" applyFill="1" applyBorder="1" applyAlignment="1">
      <alignment horizontal="center" vertical="center" wrapText="1"/>
    </xf>
    <xf numFmtId="0" fontId="6" fillId="4" borderId="3" xfId="0" applyFont="1" applyFill="1" applyBorder="1" applyAlignment="1">
      <alignment horizontal="center" vertical="center" wrapText="1"/>
    </xf>
    <xf numFmtId="0" fontId="6" fillId="4" borderId="4" xfId="0" applyFont="1" applyFill="1" applyBorder="1" applyAlignment="1">
      <alignment horizontal="center" vertical="center" wrapText="1"/>
    </xf>
    <xf numFmtId="0" fontId="8" fillId="0" borderId="1" xfId="0" applyFont="1" applyBorder="1" applyAlignment="1">
      <alignment horizontal="center" vertical="center" wrapText="1"/>
    </xf>
    <xf numFmtId="14" fontId="4" fillId="18" borderId="1" xfId="0" applyNumberFormat="1" applyFont="1" applyFill="1" applyBorder="1" applyAlignment="1">
      <alignment horizontal="center" vertical="center" wrapText="1"/>
    </xf>
    <xf numFmtId="0" fontId="6" fillId="0" borderId="1" xfId="0" applyFont="1" applyBorder="1" applyAlignment="1">
      <alignment horizontal="center" wrapText="1"/>
    </xf>
    <xf numFmtId="0" fontId="7" fillId="2" borderId="1" xfId="0" applyFont="1" applyFill="1" applyBorder="1" applyAlignment="1">
      <alignment horizontal="center" vertical="center" wrapText="1"/>
    </xf>
    <xf numFmtId="0" fontId="7" fillId="2" borderId="1" xfId="0" applyFont="1" applyFill="1" applyBorder="1" applyAlignment="1">
      <alignment horizontal="left" vertical="center" wrapText="1"/>
    </xf>
    <xf numFmtId="0" fontId="4" fillId="0" borderId="1" xfId="0" applyFont="1" applyBorder="1" applyAlignment="1">
      <alignment horizontal="center" vertical="center" wrapText="1"/>
    </xf>
    <xf numFmtId="166" fontId="4" fillId="0" borderId="1" xfId="0" applyNumberFormat="1" applyFont="1" applyBorder="1" applyAlignment="1">
      <alignment horizontal="center" vertical="center"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7" fillId="3" borderId="1" xfId="0" applyFont="1" applyFill="1" applyBorder="1" applyAlignment="1">
      <alignment horizontal="center" vertical="center" wrapText="1"/>
    </xf>
    <xf numFmtId="0" fontId="7" fillId="0" borderId="3" xfId="0" applyFont="1" applyBorder="1" applyAlignment="1">
      <alignment horizontal="center" vertical="center" wrapText="1"/>
    </xf>
    <xf numFmtId="0" fontId="33" fillId="0" borderId="5" xfId="0" applyFont="1" applyBorder="1" applyAlignment="1">
      <alignment horizontal="center" vertical="center" wrapText="1"/>
    </xf>
    <xf numFmtId="0" fontId="33" fillId="0" borderId="6" xfId="0" applyFont="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33" fillId="0" borderId="10" xfId="0"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6" fillId="4" borderId="1" xfId="0" applyFont="1" applyFill="1" applyBorder="1" applyAlignment="1">
      <alignment horizontal="center" vertical="center" wrapText="1"/>
    </xf>
    <xf numFmtId="38" fontId="7" fillId="3" borderId="8" xfId="0" applyNumberFormat="1" applyFont="1" applyFill="1" applyBorder="1" applyAlignment="1">
      <alignment horizontal="center" vertical="center" wrapText="1"/>
    </xf>
    <xf numFmtId="38" fontId="7" fillId="3" borderId="9" xfId="0" applyNumberFormat="1" applyFont="1" applyFill="1" applyBorder="1" applyAlignment="1">
      <alignment horizontal="center" vertical="center" wrapText="1"/>
    </xf>
    <xf numFmtId="38" fontId="7" fillId="3" borderId="10" xfId="0" applyNumberFormat="1" applyFont="1" applyFill="1" applyBorder="1" applyAlignment="1">
      <alignment horizontal="center" vertical="center" wrapText="1"/>
    </xf>
    <xf numFmtId="38" fontId="7" fillId="3" borderId="5" xfId="0" applyNumberFormat="1" applyFont="1" applyFill="1" applyBorder="1" applyAlignment="1">
      <alignment horizontal="center" vertical="center"/>
    </xf>
    <xf numFmtId="38" fontId="7" fillId="3" borderId="6" xfId="0" applyNumberFormat="1" applyFont="1" applyFill="1" applyBorder="1" applyAlignment="1">
      <alignment horizontal="center" vertical="center"/>
    </xf>
    <xf numFmtId="38" fontId="7" fillId="3" borderId="7" xfId="0" applyNumberFormat="1" applyFont="1" applyFill="1" applyBorder="1" applyAlignment="1">
      <alignment horizontal="center" vertical="center"/>
    </xf>
    <xf numFmtId="38" fontId="7" fillId="3" borderId="8" xfId="0" applyNumberFormat="1" applyFont="1" applyFill="1" applyBorder="1" applyAlignment="1">
      <alignment horizontal="center" vertical="center"/>
    </xf>
    <xf numFmtId="38" fontId="7" fillId="3" borderId="9" xfId="0" applyNumberFormat="1" applyFont="1" applyFill="1" applyBorder="1" applyAlignment="1">
      <alignment horizontal="center" vertical="center"/>
    </xf>
    <xf numFmtId="38" fontId="7" fillId="3" borderId="10" xfId="0" applyNumberFormat="1" applyFont="1" applyFill="1" applyBorder="1" applyAlignment="1">
      <alignment horizontal="center" vertical="center"/>
    </xf>
    <xf numFmtId="38" fontId="7" fillId="3" borderId="1" xfId="0" applyNumberFormat="1" applyFont="1" applyFill="1" applyBorder="1" applyAlignment="1">
      <alignment horizontal="center" vertical="center" wrapText="1"/>
    </xf>
    <xf numFmtId="0" fontId="33" fillId="0" borderId="13" xfId="0" applyFont="1" applyBorder="1" applyAlignment="1">
      <alignment horizontal="center" vertical="center" wrapText="1"/>
    </xf>
    <xf numFmtId="0" fontId="33" fillId="0" borderId="0" xfId="0" applyFont="1" applyAlignment="1">
      <alignment horizontal="center" vertical="center" wrapText="1"/>
    </xf>
    <xf numFmtId="0" fontId="33" fillId="0" borderId="14" xfId="0" applyFont="1" applyBorder="1" applyAlignment="1">
      <alignment horizontal="center" vertical="center" wrapText="1"/>
    </xf>
    <xf numFmtId="0" fontId="3" fillId="0" borderId="0" xfId="0" applyFont="1" applyAlignment="1">
      <alignment horizontal="center" wrapText="1"/>
    </xf>
    <xf numFmtId="0" fontId="7" fillId="8" borderId="2" xfId="0" applyFont="1" applyFill="1" applyBorder="1" applyAlignment="1">
      <alignment horizontal="left" vertical="center" wrapText="1"/>
    </xf>
    <xf numFmtId="0" fontId="7" fillId="8" borderId="3" xfId="0" applyFont="1" applyFill="1" applyBorder="1" applyAlignment="1">
      <alignment horizontal="left" vertical="center" wrapText="1"/>
    </xf>
    <xf numFmtId="0" fontId="7" fillId="8" borderId="4" xfId="0" applyFont="1" applyFill="1" applyBorder="1" applyAlignment="1">
      <alignment horizontal="left" vertical="center" wrapText="1"/>
    </xf>
    <xf numFmtId="0" fontId="7" fillId="3" borderId="2"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7" fillId="6" borderId="1" xfId="0" applyFont="1" applyFill="1" applyBorder="1" applyAlignment="1">
      <alignment horizontal="center" vertical="center" wrapText="1"/>
    </xf>
    <xf numFmtId="0" fontId="6" fillId="6" borderId="2" xfId="0" applyFont="1" applyFill="1" applyBorder="1" applyAlignment="1">
      <alignment horizontal="left" vertical="center" wrapText="1"/>
    </xf>
    <xf numFmtId="0" fontId="6" fillId="6" borderId="3" xfId="0" applyFont="1" applyFill="1" applyBorder="1" applyAlignment="1">
      <alignment horizontal="left" vertical="center" wrapText="1"/>
    </xf>
    <xf numFmtId="0" fontId="6" fillId="6" borderId="4" xfId="0" applyFont="1" applyFill="1" applyBorder="1" applyAlignment="1">
      <alignment horizontal="lef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4" fillId="6" borderId="2"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4" xfId="0" applyFont="1" applyFill="1" applyBorder="1" applyAlignment="1">
      <alignment horizontal="center" vertical="center" wrapText="1"/>
    </xf>
    <xf numFmtId="0" fontId="25" fillId="0" borderId="0" xfId="0" applyFont="1" applyAlignment="1">
      <alignment horizontal="left" vertical="top" wrapText="1"/>
    </xf>
    <xf numFmtId="0" fontId="13" fillId="6" borderId="2" xfId="0" applyFont="1" applyFill="1" applyBorder="1" applyAlignment="1">
      <alignment horizontal="center" vertical="center" wrapText="1"/>
    </xf>
    <xf numFmtId="0" fontId="13" fillId="6" borderId="3" xfId="0" applyFont="1" applyFill="1" applyBorder="1" applyAlignment="1">
      <alignment horizontal="center" vertical="center" wrapText="1"/>
    </xf>
    <xf numFmtId="0" fontId="13" fillId="6" borderId="4" xfId="0" applyFont="1" applyFill="1" applyBorder="1" applyAlignment="1">
      <alignment horizontal="center" vertical="center" wrapText="1"/>
    </xf>
    <xf numFmtId="0" fontId="4" fillId="6" borderId="13" xfId="0" applyFont="1" applyFill="1" applyBorder="1" applyAlignment="1">
      <alignment horizontal="center" vertical="center" wrapText="1"/>
    </xf>
    <xf numFmtId="0" fontId="4" fillId="6" borderId="0" xfId="0" applyFont="1" applyFill="1" applyAlignment="1">
      <alignment horizontal="center" vertical="center" wrapText="1"/>
    </xf>
    <xf numFmtId="0" fontId="4" fillId="6" borderId="3" xfId="0" applyFont="1" applyFill="1" applyBorder="1" applyAlignment="1">
      <alignment horizontal="center" vertical="center"/>
    </xf>
    <xf numFmtId="0" fontId="4" fillId="6" borderId="4" xfId="0" applyFont="1" applyFill="1" applyBorder="1" applyAlignment="1">
      <alignment horizontal="center" vertical="center"/>
    </xf>
    <xf numFmtId="0" fontId="41" fillId="0" borderId="2" xfId="0" applyFont="1" applyBorder="1" applyAlignment="1">
      <alignment horizontal="center" vertical="center" wrapText="1"/>
    </xf>
    <xf numFmtId="0" fontId="41" fillId="0" borderId="3" xfId="0" applyFont="1" applyBorder="1" applyAlignment="1">
      <alignment horizontal="center" vertical="center" wrapText="1"/>
    </xf>
    <xf numFmtId="0" fontId="41" fillId="0" borderId="4" xfId="0" applyFont="1" applyBorder="1" applyAlignment="1">
      <alignment horizontal="center" vertical="center" wrapText="1"/>
    </xf>
    <xf numFmtId="0" fontId="41" fillId="0" borderId="6" xfId="0" applyFont="1" applyBorder="1" applyAlignment="1">
      <alignment horizontal="center" vertical="center" wrapText="1"/>
    </xf>
    <xf numFmtId="0" fontId="4" fillId="6" borderId="5" xfId="0" applyFont="1" applyFill="1" applyBorder="1" applyAlignment="1">
      <alignment horizontal="center" vertical="center" wrapText="1"/>
    </xf>
    <xf numFmtId="0" fontId="4" fillId="6" borderId="6" xfId="0" applyFont="1" applyFill="1" applyBorder="1" applyAlignment="1">
      <alignment horizontal="center" vertical="center" wrapText="1"/>
    </xf>
    <xf numFmtId="0" fontId="4" fillId="6" borderId="7"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4" fillId="6" borderId="9" xfId="0" applyFont="1" applyFill="1" applyBorder="1" applyAlignment="1">
      <alignment horizontal="center" vertical="center" wrapText="1"/>
    </xf>
    <xf numFmtId="0" fontId="4" fillId="6" borderId="10" xfId="0" applyFont="1" applyFill="1" applyBorder="1" applyAlignment="1">
      <alignment horizontal="center" vertical="center" wrapText="1"/>
    </xf>
    <xf numFmtId="0" fontId="4" fillId="6" borderId="1" xfId="0" applyFont="1" applyFill="1" applyBorder="1" applyAlignment="1">
      <alignment horizontal="center" vertical="center" wrapText="1"/>
    </xf>
    <xf numFmtId="49" fontId="6" fillId="0" borderId="2" xfId="0" applyNumberFormat="1" applyFont="1" applyBorder="1" applyAlignment="1">
      <alignment horizontal="left" vertical="center" wrapText="1"/>
    </xf>
    <xf numFmtId="49" fontId="8" fillId="0" borderId="3" xfId="0" applyNumberFormat="1" applyFont="1" applyBorder="1" applyAlignment="1">
      <alignment horizontal="left" vertical="center" wrapText="1"/>
    </xf>
    <xf numFmtId="49" fontId="8" fillId="0" borderId="4" xfId="0" applyNumberFormat="1" applyFont="1" applyBorder="1" applyAlignment="1">
      <alignment horizontal="left" vertical="center" wrapText="1"/>
    </xf>
    <xf numFmtId="0" fontId="4" fillId="6" borderId="30"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4" fillId="6" borderId="54" xfId="0" applyFont="1" applyFill="1" applyBorder="1" applyAlignment="1">
      <alignment horizontal="center" vertical="center" wrapText="1"/>
    </xf>
    <xf numFmtId="0" fontId="4" fillId="6" borderId="52" xfId="0" applyFont="1" applyFill="1" applyBorder="1" applyAlignment="1">
      <alignment horizontal="center" vertical="center" wrapText="1"/>
    </xf>
    <xf numFmtId="0" fontId="4" fillId="6" borderId="49" xfId="0" applyFont="1" applyFill="1" applyBorder="1" applyAlignment="1">
      <alignment horizontal="center" vertical="center"/>
    </xf>
    <xf numFmtId="0" fontId="4" fillId="6" borderId="53" xfId="0" applyFont="1" applyFill="1" applyBorder="1" applyAlignment="1">
      <alignment horizontal="center" vertical="center"/>
    </xf>
    <xf numFmtId="49" fontId="6" fillId="0" borderId="2" xfId="0" applyNumberFormat="1" applyFont="1" applyBorder="1" applyAlignment="1">
      <alignment vertical="center" wrapText="1"/>
    </xf>
    <xf numFmtId="49" fontId="8" fillId="0" borderId="3" xfId="0" applyNumberFormat="1" applyFont="1" applyBorder="1" applyAlignment="1">
      <alignment vertical="center" wrapText="1"/>
    </xf>
    <xf numFmtId="49" fontId="8" fillId="0" borderId="4" xfId="0" applyNumberFormat="1" applyFont="1" applyBorder="1" applyAlignment="1">
      <alignment vertical="center" wrapText="1"/>
    </xf>
    <xf numFmtId="0" fontId="7" fillId="3" borderId="6" xfId="0" applyFont="1" applyFill="1" applyBorder="1" applyAlignment="1">
      <alignment horizontal="center" vertical="center" wrapText="1"/>
    </xf>
    <xf numFmtId="0" fontId="2" fillId="12" borderId="2" xfId="0" applyFont="1" applyFill="1" applyBorder="1" applyAlignment="1">
      <alignment horizontal="left" vertical="center" wrapText="1"/>
    </xf>
    <xf numFmtId="0" fontId="2" fillId="12" borderId="3" xfId="0" applyFont="1" applyFill="1" applyBorder="1" applyAlignment="1">
      <alignment horizontal="left" vertical="center" wrapText="1"/>
    </xf>
    <xf numFmtId="0" fontId="2" fillId="12" borderId="4" xfId="0" applyFont="1" applyFill="1" applyBorder="1" applyAlignment="1">
      <alignment horizontal="left" vertical="center" wrapText="1"/>
    </xf>
    <xf numFmtId="0" fontId="7" fillId="6" borderId="2" xfId="0" applyFont="1" applyFill="1" applyBorder="1" applyAlignment="1">
      <alignment horizontal="center" vertical="center" wrapText="1"/>
    </xf>
    <xf numFmtId="0" fontId="7" fillId="6" borderId="3" xfId="0" applyFont="1" applyFill="1" applyBorder="1" applyAlignment="1">
      <alignment horizontal="center" vertical="center"/>
    </xf>
    <xf numFmtId="0" fontId="7" fillId="6" borderId="4" xfId="0" applyFont="1" applyFill="1" applyBorder="1" applyAlignment="1">
      <alignment horizontal="center" vertical="center"/>
    </xf>
    <xf numFmtId="0" fontId="7" fillId="3" borderId="2" xfId="0" applyFont="1" applyFill="1" applyBorder="1" applyAlignment="1">
      <alignment horizontal="left" vertical="center" wrapText="1"/>
    </xf>
    <xf numFmtId="0" fontId="7" fillId="3" borderId="3" xfId="0" applyFont="1" applyFill="1" applyBorder="1" applyAlignment="1">
      <alignment horizontal="left" vertical="center" wrapText="1"/>
    </xf>
    <xf numFmtId="0" fontId="7" fillId="3" borderId="4" xfId="0" applyFont="1" applyFill="1" applyBorder="1" applyAlignment="1">
      <alignment horizontal="left"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9" fontId="7" fillId="0" borderId="6" xfId="1" applyFont="1" applyBorder="1" applyAlignment="1">
      <alignment horizontal="center" vertical="center" wrapText="1"/>
    </xf>
    <xf numFmtId="9" fontId="7" fillId="0" borderId="7" xfId="1" applyFont="1" applyBorder="1" applyAlignment="1">
      <alignment horizontal="center" vertical="center" wrapText="1"/>
    </xf>
    <xf numFmtId="9" fontId="7" fillId="0" borderId="9" xfId="1" applyFont="1" applyBorder="1" applyAlignment="1">
      <alignment horizontal="center" vertical="center" wrapText="1"/>
    </xf>
    <xf numFmtId="9" fontId="7" fillId="0" borderId="10" xfId="1" applyFont="1" applyBorder="1" applyAlignment="1">
      <alignment horizontal="center" vertical="center" wrapText="1"/>
    </xf>
    <xf numFmtId="9" fontId="7" fillId="0" borderId="1" xfId="1" applyFont="1" applyBorder="1" applyAlignment="1">
      <alignment horizontal="center" vertical="center" wrapText="1"/>
    </xf>
    <xf numFmtId="9" fontId="6" fillId="0" borderId="2" xfId="1" applyNumberFormat="1" applyFont="1" applyBorder="1" applyAlignment="1">
      <alignment horizontal="center" vertical="center" wrapText="1"/>
    </xf>
    <xf numFmtId="9" fontId="6" fillId="0" borderId="3" xfId="1" applyNumberFormat="1" applyFont="1" applyBorder="1" applyAlignment="1">
      <alignment horizontal="center" vertical="center" wrapText="1"/>
    </xf>
    <xf numFmtId="9" fontId="6" fillId="0" borderId="4" xfId="1" applyNumberFormat="1" applyFont="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7" fillId="7" borderId="2" xfId="0" applyFont="1" applyFill="1" applyBorder="1" applyAlignment="1">
      <alignment horizontal="left" vertical="center" wrapText="1"/>
    </xf>
    <xf numFmtId="0" fontId="7" fillId="7" borderId="3" xfId="0" applyFont="1" applyFill="1" applyBorder="1" applyAlignment="1">
      <alignment horizontal="left" vertical="center" wrapText="1"/>
    </xf>
    <xf numFmtId="0" fontId="7" fillId="7" borderId="4" xfId="0" applyFont="1" applyFill="1" applyBorder="1" applyAlignment="1">
      <alignment horizontal="left" vertical="center" wrapText="1"/>
    </xf>
    <xf numFmtId="0" fontId="7" fillId="7" borderId="3" xfId="0" applyFont="1" applyFill="1" applyBorder="1" applyAlignment="1">
      <alignment horizontal="center" vertical="center" wrapText="1"/>
    </xf>
    <xf numFmtId="0" fontId="7" fillId="7" borderId="4" xfId="0" applyFont="1" applyFill="1" applyBorder="1" applyAlignment="1">
      <alignment horizontal="center" vertical="center" wrapText="1"/>
    </xf>
    <xf numFmtId="0" fontId="7" fillId="7" borderId="2" xfId="0" applyFont="1" applyFill="1" applyBorder="1" applyAlignment="1">
      <alignment horizontal="center" vertical="center" wrapText="1"/>
    </xf>
    <xf numFmtId="0" fontId="7" fillId="13" borderId="2" xfId="0" applyFont="1" applyFill="1" applyBorder="1" applyAlignment="1">
      <alignment horizontal="center" vertical="center" wrapText="1"/>
    </xf>
    <xf numFmtId="0" fontId="7" fillId="13" borderId="3" xfId="0" applyFont="1" applyFill="1" applyBorder="1" applyAlignment="1">
      <alignment horizontal="center" vertical="center" wrapText="1"/>
    </xf>
    <xf numFmtId="0" fontId="7" fillId="13" borderId="4" xfId="0" applyFont="1" applyFill="1" applyBorder="1" applyAlignment="1">
      <alignment horizontal="center" vertical="center" wrapText="1"/>
    </xf>
    <xf numFmtId="49" fontId="6" fillId="0" borderId="2" xfId="0" applyNumberFormat="1" applyFont="1" applyFill="1" applyBorder="1" applyAlignment="1">
      <alignment horizontal="center" vertical="center" wrapText="1"/>
    </xf>
    <xf numFmtId="49" fontId="6" fillId="0" borderId="3" xfId="0" applyNumberFormat="1" applyFont="1" applyFill="1" applyBorder="1" applyAlignment="1">
      <alignment horizontal="center" vertical="center" wrapText="1"/>
    </xf>
    <xf numFmtId="49" fontId="6" fillId="0" borderId="4" xfId="0" applyNumberFormat="1" applyFont="1" applyFill="1" applyBorder="1" applyAlignment="1">
      <alignment horizontal="center" vertical="center" wrapText="1"/>
    </xf>
    <xf numFmtId="49" fontId="8" fillId="0" borderId="1" xfId="0" applyNumberFormat="1" applyFont="1" applyBorder="1" applyAlignment="1">
      <alignment horizontal="left" vertical="center" wrapText="1"/>
    </xf>
    <xf numFmtId="49" fontId="13" fillId="0" borderId="1" xfId="0" applyNumberFormat="1" applyFont="1" applyBorder="1" applyAlignment="1">
      <alignment horizontal="left" vertical="center" wrapText="1"/>
    </xf>
    <xf numFmtId="0" fontId="5" fillId="0" borderId="1" xfId="0" applyFont="1" applyFill="1" applyBorder="1" applyAlignment="1">
      <alignment horizontal="left" vertical="center" wrapText="1"/>
    </xf>
    <xf numFmtId="49" fontId="6" fillId="0" borderId="1" xfId="0" applyNumberFormat="1" applyFont="1" applyBorder="1" applyAlignment="1">
      <alignment horizontal="left" vertical="center" wrapText="1"/>
    </xf>
    <xf numFmtId="0" fontId="7" fillId="19" borderId="2" xfId="0" applyFont="1" applyFill="1" applyBorder="1" applyAlignment="1">
      <alignment horizontal="left" vertical="center" wrapText="1"/>
    </xf>
    <xf numFmtId="0" fontId="7" fillId="19" borderId="3" xfId="0" applyFont="1" applyFill="1" applyBorder="1" applyAlignment="1">
      <alignment horizontal="left" vertical="center" wrapText="1"/>
    </xf>
    <xf numFmtId="0" fontId="7" fillId="19"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12" fillId="12" borderId="5" xfId="0" applyFont="1" applyFill="1" applyBorder="1" applyAlignment="1">
      <alignment horizontal="center" vertical="center" textRotation="90" wrapText="1"/>
    </xf>
    <xf numFmtId="0" fontId="12" fillId="12" borderId="13" xfId="0" applyFont="1" applyFill="1" applyBorder="1" applyAlignment="1">
      <alignment horizontal="center" vertical="center" textRotation="90" wrapText="1"/>
    </xf>
    <xf numFmtId="9" fontId="6" fillId="0" borderId="1" xfId="1" applyNumberFormat="1" applyFont="1" applyBorder="1" applyAlignment="1">
      <alignment horizontal="center" vertical="center" wrapText="1"/>
    </xf>
    <xf numFmtId="10" fontId="6" fillId="0" borderId="1" xfId="1" applyNumberFormat="1" applyFont="1" applyBorder="1" applyAlignment="1">
      <alignment horizontal="center" vertical="center" wrapText="1"/>
    </xf>
    <xf numFmtId="167" fontId="6" fillId="0" borderId="2" xfId="1" applyNumberFormat="1" applyFont="1" applyBorder="1" applyAlignment="1">
      <alignment horizontal="center" vertical="center" wrapText="1"/>
    </xf>
    <xf numFmtId="167" fontId="6" fillId="0" borderId="4" xfId="1" applyNumberFormat="1" applyFont="1" applyBorder="1" applyAlignment="1">
      <alignment horizontal="center" vertical="center" wrapText="1"/>
    </xf>
    <xf numFmtId="168" fontId="6" fillId="6" borderId="1" xfId="3" applyNumberFormat="1" applyFont="1" applyFill="1" applyBorder="1" applyAlignment="1">
      <alignment horizontal="center" vertical="center"/>
    </xf>
    <xf numFmtId="9" fontId="5" fillId="0" borderId="1" xfId="1"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4" xfId="0" applyFont="1" applyBorder="1" applyAlignment="1">
      <alignment horizontal="center" vertical="center"/>
    </xf>
    <xf numFmtId="0" fontId="7" fillId="4" borderId="1"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7" fillId="10" borderId="2" xfId="0" applyFont="1" applyFill="1" applyBorder="1" applyAlignment="1">
      <alignment horizontal="center" vertical="center" wrapText="1"/>
    </xf>
    <xf numFmtId="0" fontId="7" fillId="10" borderId="3" xfId="0" applyFont="1" applyFill="1" applyBorder="1" applyAlignment="1">
      <alignment horizontal="center" vertical="center" wrapText="1"/>
    </xf>
    <xf numFmtId="0" fontId="7" fillId="10" borderId="4" xfId="0" applyFont="1" applyFill="1" applyBorder="1" applyAlignment="1">
      <alignment horizontal="center" vertical="center" wrapText="1"/>
    </xf>
    <xf numFmtId="0" fontId="7" fillId="0" borderId="1" xfId="0" applyFont="1" applyBorder="1" applyAlignment="1">
      <alignment horizontal="left" vertical="center" wrapText="1"/>
    </xf>
    <xf numFmtId="0" fontId="5" fillId="12" borderId="3" xfId="0" applyFont="1" applyFill="1" applyBorder="1" applyAlignment="1">
      <alignment horizontal="left" vertical="center" wrapText="1"/>
    </xf>
    <xf numFmtId="0" fontId="5" fillId="12" borderId="4" xfId="0" applyFont="1" applyFill="1" applyBorder="1" applyAlignment="1">
      <alignment horizontal="left" vertical="center" wrapText="1"/>
    </xf>
    <xf numFmtId="2" fontId="6" fillId="22" borderId="2" xfId="1" applyNumberFormat="1" applyFont="1" applyFill="1" applyBorder="1" applyAlignment="1">
      <alignment horizontal="center" vertical="center" wrapText="1"/>
    </xf>
    <xf numFmtId="2" fontId="6" fillId="22" borderId="3" xfId="1" applyNumberFormat="1" applyFont="1" applyFill="1" applyBorder="1" applyAlignment="1">
      <alignment horizontal="center" vertical="center" wrapText="1"/>
    </xf>
    <xf numFmtId="2" fontId="6" fillId="22" borderId="4" xfId="1" applyNumberFormat="1" applyFont="1" applyFill="1" applyBorder="1" applyAlignment="1">
      <alignment horizontal="center" vertical="center" wrapText="1"/>
    </xf>
    <xf numFmtId="0" fontId="13"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5" fillId="0" borderId="2" xfId="0" applyFont="1" applyBorder="1" applyAlignment="1">
      <alignment horizontal="center" wrapText="1"/>
    </xf>
    <xf numFmtId="0" fontId="5" fillId="0" borderId="3" xfId="0" applyFont="1" applyBorder="1" applyAlignment="1">
      <alignment horizontal="center" wrapText="1"/>
    </xf>
    <xf numFmtId="0" fontId="5" fillId="0" borderId="4" xfId="0" applyFont="1" applyBorder="1" applyAlignment="1">
      <alignment horizontal="center" wrapText="1"/>
    </xf>
    <xf numFmtId="2" fontId="6" fillId="0" borderId="2" xfId="1" applyNumberFormat="1" applyFont="1" applyBorder="1" applyAlignment="1">
      <alignment horizontal="center" vertical="center" wrapText="1"/>
    </xf>
    <xf numFmtId="2" fontId="6" fillId="0" borderId="4" xfId="1" applyNumberFormat="1" applyFont="1" applyBorder="1" applyAlignment="1">
      <alignment horizontal="center" vertical="center" wrapText="1"/>
    </xf>
    <xf numFmtId="0" fontId="7" fillId="11" borderId="2" xfId="0" applyFont="1" applyFill="1" applyBorder="1" applyAlignment="1">
      <alignment vertical="center" wrapText="1"/>
    </xf>
    <xf numFmtId="0" fontId="7" fillId="11" borderId="3" xfId="0" applyFont="1" applyFill="1" applyBorder="1" applyAlignment="1">
      <alignment vertical="center" wrapText="1"/>
    </xf>
    <xf numFmtId="0" fontId="7" fillId="11" borderId="4" xfId="0" applyFont="1" applyFill="1" applyBorder="1" applyAlignment="1">
      <alignment vertical="center" wrapText="1"/>
    </xf>
    <xf numFmtId="0" fontId="6" fillId="6" borderId="1" xfId="0" applyFont="1" applyFill="1" applyBorder="1" applyAlignment="1">
      <alignment horizontal="left" vertical="center" wrapText="1"/>
    </xf>
    <xf numFmtId="9" fontId="7" fillId="0" borderId="1" xfId="0" applyNumberFormat="1" applyFont="1" applyBorder="1" applyAlignment="1">
      <alignment horizontal="center" vertical="center" wrapText="1"/>
    </xf>
    <xf numFmtId="0" fontId="6" fillId="0" borderId="25" xfId="2" applyFont="1" applyBorder="1" applyAlignment="1">
      <alignment horizontal="left" vertical="center" wrapText="1"/>
    </xf>
    <xf numFmtId="38" fontId="4" fillId="6" borderId="2" xfId="0" applyNumberFormat="1" applyFont="1" applyFill="1" applyBorder="1" applyAlignment="1">
      <alignment horizontal="center" vertical="center" wrapText="1"/>
    </xf>
    <xf numFmtId="38" fontId="4" fillId="6" borderId="3" xfId="0" applyNumberFormat="1" applyFont="1" applyFill="1" applyBorder="1" applyAlignment="1">
      <alignment horizontal="center" vertical="center" wrapText="1"/>
    </xf>
    <xf numFmtId="38" fontId="4" fillId="6" borderId="4" xfId="0" applyNumberFormat="1" applyFont="1" applyFill="1" applyBorder="1" applyAlignment="1">
      <alignment horizontal="center" vertical="center" wrapText="1"/>
    </xf>
    <xf numFmtId="38" fontId="7" fillId="14" borderId="5" xfId="0" applyNumberFormat="1" applyFont="1" applyFill="1" applyBorder="1" applyAlignment="1">
      <alignment horizontal="center" vertical="center" wrapText="1"/>
    </xf>
    <xf numFmtId="38" fontId="7" fillId="14" borderId="6" xfId="0" applyNumberFormat="1" applyFont="1" applyFill="1" applyBorder="1" applyAlignment="1">
      <alignment horizontal="center" vertical="center" wrapText="1"/>
    </xf>
    <xf numFmtId="38" fontId="7" fillId="14" borderId="7" xfId="0" applyNumberFormat="1" applyFont="1" applyFill="1" applyBorder="1" applyAlignment="1">
      <alignment horizontal="center" vertical="center" wrapText="1"/>
    </xf>
    <xf numFmtId="0" fontId="7" fillId="14" borderId="5" xfId="0" applyFont="1" applyFill="1" applyBorder="1" applyAlignment="1">
      <alignment horizontal="center" vertical="center" wrapText="1"/>
    </xf>
    <xf numFmtId="0" fontId="7" fillId="14" borderId="7" xfId="0" applyFont="1" applyFill="1" applyBorder="1" applyAlignment="1">
      <alignment horizontal="center" vertical="center" wrapText="1"/>
    </xf>
    <xf numFmtId="0" fontId="20" fillId="0" borderId="2"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9" xfId="0" applyFont="1" applyBorder="1" applyAlignment="1">
      <alignment horizontal="center" vertical="center" wrapText="1"/>
    </xf>
    <xf numFmtId="0" fontId="20" fillId="0" borderId="10" xfId="0" applyFont="1" applyBorder="1" applyAlignment="1">
      <alignment horizontal="center" vertical="center" wrapText="1"/>
    </xf>
    <xf numFmtId="0" fontId="5" fillId="0" borderId="3" xfId="0" applyFont="1" applyBorder="1" applyAlignment="1">
      <alignment horizontal="center" vertical="center" wrapText="1"/>
    </xf>
    <xf numFmtId="0" fontId="7" fillId="8" borderId="8" xfId="2" applyFont="1" applyFill="1" applyBorder="1" applyAlignment="1">
      <alignment horizontal="left" vertical="center"/>
    </xf>
    <xf numFmtId="0" fontId="7" fillId="8" borderId="9" xfId="2" applyFont="1" applyFill="1" applyBorder="1" applyAlignment="1">
      <alignment horizontal="left" vertical="center"/>
    </xf>
    <xf numFmtId="0" fontId="7" fillId="8" borderId="10" xfId="2" applyFont="1" applyFill="1" applyBorder="1" applyAlignment="1">
      <alignment horizontal="left" vertical="center"/>
    </xf>
    <xf numFmtId="0" fontId="6" fillId="6" borderId="1" xfId="0" applyFont="1" applyFill="1" applyBorder="1" applyAlignment="1">
      <alignment horizontal="center" vertical="center" wrapText="1"/>
    </xf>
    <xf numFmtId="14" fontId="6" fillId="0" borderId="1" xfId="0" applyNumberFormat="1" applyFont="1" applyBorder="1" applyAlignment="1">
      <alignment horizontal="center" vertical="center" wrapText="1"/>
    </xf>
    <xf numFmtId="0" fontId="7" fillId="0" borderId="1" xfId="2" applyFont="1" applyBorder="1" applyAlignment="1">
      <alignment horizontal="center" vertical="center" wrapText="1"/>
    </xf>
    <xf numFmtId="38" fontId="6" fillId="6" borderId="2" xfId="0" applyNumberFormat="1" applyFont="1" applyFill="1" applyBorder="1" applyAlignment="1">
      <alignment horizontal="center" vertical="center" wrapText="1"/>
    </xf>
    <xf numFmtId="38" fontId="6" fillId="6" borderId="3" xfId="0" applyNumberFormat="1" applyFont="1" applyFill="1" applyBorder="1" applyAlignment="1">
      <alignment horizontal="center" vertical="center" wrapText="1"/>
    </xf>
    <xf numFmtId="38" fontId="6" fillId="6" borderId="4" xfId="0" applyNumberFormat="1" applyFont="1" applyFill="1" applyBorder="1" applyAlignment="1">
      <alignment horizontal="center" vertical="center" wrapText="1"/>
    </xf>
    <xf numFmtId="38" fontId="6" fillId="0" borderId="8" xfId="0" applyNumberFormat="1" applyFont="1" applyBorder="1" applyAlignment="1">
      <alignment horizontal="center" vertical="center" wrapText="1"/>
    </xf>
    <xf numFmtId="38" fontId="6" fillId="0" borderId="9" xfId="0" applyNumberFormat="1" applyFont="1" applyBorder="1" applyAlignment="1">
      <alignment horizontal="center" vertical="center" wrapText="1"/>
    </xf>
    <xf numFmtId="38" fontId="6" fillId="0" borderId="10" xfId="0" applyNumberFormat="1" applyFont="1" applyBorder="1" applyAlignment="1">
      <alignment horizontal="center" vertical="center" wrapText="1"/>
    </xf>
    <xf numFmtId="9" fontId="4" fillId="0" borderId="11" xfId="0" applyNumberFormat="1" applyFont="1" applyFill="1" applyBorder="1" applyAlignment="1">
      <alignment horizontal="center" vertical="center" wrapText="1"/>
    </xf>
    <xf numFmtId="14" fontId="4" fillId="0" borderId="11" xfId="0" applyNumberFormat="1" applyFont="1" applyFill="1" applyBorder="1" applyAlignment="1">
      <alignment horizontal="center" vertical="center" wrapText="1"/>
    </xf>
    <xf numFmtId="49" fontId="6" fillId="6" borderId="1" xfId="0" applyNumberFormat="1" applyFont="1" applyFill="1" applyBorder="1" applyAlignment="1">
      <alignment horizontal="center" vertical="center" wrapText="1"/>
    </xf>
    <xf numFmtId="38" fontId="6" fillId="6" borderId="2" xfId="0" applyNumberFormat="1" applyFont="1" applyFill="1" applyBorder="1" applyAlignment="1">
      <alignment horizontal="left" vertical="center" wrapText="1"/>
    </xf>
    <xf numFmtId="38" fontId="6" fillId="6" borderId="3" xfId="0" applyNumberFormat="1" applyFont="1" applyFill="1" applyBorder="1" applyAlignment="1">
      <alignment horizontal="left" vertical="center" wrapText="1"/>
    </xf>
    <xf numFmtId="38" fontId="6" fillId="6" borderId="4" xfId="0" applyNumberFormat="1" applyFont="1" applyFill="1" applyBorder="1" applyAlignment="1">
      <alignment horizontal="left" vertical="center" wrapText="1"/>
    </xf>
    <xf numFmtId="38" fontId="6" fillId="6" borderId="1" xfId="0" applyNumberFormat="1" applyFont="1" applyFill="1" applyBorder="1" applyAlignment="1">
      <alignment horizontal="center" vertical="center" wrapText="1"/>
    </xf>
    <xf numFmtId="38" fontId="4" fillId="0" borderId="11" xfId="0" applyNumberFormat="1" applyFont="1" applyFill="1" applyBorder="1" applyAlignment="1">
      <alignment horizontal="left" vertical="center" wrapText="1"/>
    </xf>
    <xf numFmtId="49" fontId="4" fillId="0" borderId="1" xfId="0" applyNumberFormat="1" applyFont="1" applyFill="1" applyBorder="1" applyAlignment="1">
      <alignment horizontal="left" vertical="center" wrapText="1"/>
    </xf>
    <xf numFmtId="0" fontId="6" fillId="0" borderId="1" xfId="0" applyFont="1" applyFill="1" applyBorder="1" applyAlignment="1">
      <alignment horizontal="center" vertical="center" wrapText="1"/>
    </xf>
    <xf numFmtId="49" fontId="6" fillId="6" borderId="2" xfId="0" applyNumberFormat="1" applyFont="1" applyFill="1" applyBorder="1" applyAlignment="1">
      <alignment horizontal="center" vertical="center" wrapText="1"/>
    </xf>
    <xf numFmtId="49" fontId="6" fillId="6" borderId="4" xfId="0" applyNumberFormat="1" applyFont="1" applyFill="1" applyBorder="1" applyAlignment="1">
      <alignment horizontal="center" vertical="center" wrapText="1"/>
    </xf>
    <xf numFmtId="14" fontId="6" fillId="6" borderId="2" xfId="0" applyNumberFormat="1" applyFont="1" applyFill="1" applyBorder="1" applyAlignment="1">
      <alignment horizontal="center" vertical="center" wrapText="1"/>
    </xf>
    <xf numFmtId="14" fontId="6" fillId="6" borderId="4" xfId="0" applyNumberFormat="1" applyFont="1" applyFill="1" applyBorder="1" applyAlignment="1">
      <alignment horizontal="center" vertical="center" wrapText="1"/>
    </xf>
    <xf numFmtId="0" fontId="7" fillId="9" borderId="2" xfId="0" applyFont="1" applyFill="1" applyBorder="1" applyAlignment="1">
      <alignment horizontal="center" vertical="center" wrapText="1"/>
    </xf>
    <xf numFmtId="0" fontId="7" fillId="9" borderId="3" xfId="0" applyFont="1" applyFill="1" applyBorder="1" applyAlignment="1">
      <alignment horizontal="center" vertical="center" wrapText="1"/>
    </xf>
    <xf numFmtId="0" fontId="7" fillId="9" borderId="4" xfId="0" applyFont="1" applyFill="1" applyBorder="1" applyAlignment="1">
      <alignment horizontal="center" vertical="center" wrapText="1"/>
    </xf>
    <xf numFmtId="0" fontId="6" fillId="0" borderId="1" xfId="2" applyFont="1" applyBorder="1" applyAlignment="1">
      <alignment horizontal="left" vertical="center" wrapText="1"/>
    </xf>
    <xf numFmtId="10" fontId="6" fillId="22" borderId="2" xfId="1" applyNumberFormat="1" applyFont="1" applyFill="1" applyBorder="1" applyAlignment="1">
      <alignment horizontal="center" vertical="center" wrapText="1"/>
    </xf>
    <xf numFmtId="10" fontId="6" fillId="22" borderId="3" xfId="1" applyNumberFormat="1" applyFont="1" applyFill="1" applyBorder="1" applyAlignment="1">
      <alignment horizontal="center" vertical="center" wrapText="1"/>
    </xf>
    <xf numFmtId="10" fontId="6" fillId="22" borderId="4" xfId="1" applyNumberFormat="1" applyFont="1" applyFill="1" applyBorder="1" applyAlignment="1">
      <alignment horizontal="center" vertical="center" wrapText="1"/>
    </xf>
    <xf numFmtId="0" fontId="20" fillId="0" borderId="5"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7" xfId="0" applyFont="1" applyBorder="1" applyAlignment="1">
      <alignment horizontal="center" vertical="center" wrapText="1"/>
    </xf>
    <xf numFmtId="0" fontId="20" fillId="0" borderId="8" xfId="0" applyFont="1" applyBorder="1" applyAlignment="1">
      <alignment horizontal="center"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7" xfId="0" applyFont="1" applyBorder="1" applyAlignment="1">
      <alignment horizontal="left" vertical="center" wrapText="1"/>
    </xf>
    <xf numFmtId="0" fontId="4" fillId="0" borderId="5" xfId="0" applyFont="1" applyBorder="1" applyAlignment="1">
      <alignment horizontal="center" wrapText="1"/>
    </xf>
    <xf numFmtId="0" fontId="4" fillId="0" borderId="6" xfId="0" applyFont="1" applyBorder="1" applyAlignment="1">
      <alignment horizontal="center" wrapText="1"/>
    </xf>
    <xf numFmtId="0" fontId="4" fillId="0" borderId="7" xfId="0" applyFont="1" applyBorder="1" applyAlignment="1">
      <alignment horizontal="center" wrapText="1"/>
    </xf>
    <xf numFmtId="0" fontId="4" fillId="0" borderId="13" xfId="0" applyFont="1" applyBorder="1" applyAlignment="1">
      <alignment horizontal="center" wrapText="1"/>
    </xf>
    <xf numFmtId="0" fontId="4" fillId="0" borderId="0" xfId="0" applyFont="1" applyAlignment="1">
      <alignment horizontal="center" wrapText="1"/>
    </xf>
    <xf numFmtId="0" fontId="4" fillId="0" borderId="14" xfId="0" applyFont="1" applyBorder="1" applyAlignment="1">
      <alignment horizontal="center" wrapText="1"/>
    </xf>
    <xf numFmtId="0" fontId="4" fillId="0" borderId="8" xfId="0" applyFont="1" applyBorder="1" applyAlignment="1">
      <alignment horizontal="center" wrapText="1"/>
    </xf>
    <xf numFmtId="0" fontId="4" fillId="0" borderId="9" xfId="0" applyFont="1" applyBorder="1" applyAlignment="1">
      <alignment horizontal="center" wrapText="1"/>
    </xf>
    <xf numFmtId="0" fontId="4" fillId="0" borderId="10" xfId="0" applyFont="1" applyBorder="1" applyAlignment="1">
      <alignment horizontal="center" wrapText="1"/>
    </xf>
    <xf numFmtId="0" fontId="7" fillId="0" borderId="3" xfId="0" applyFont="1" applyBorder="1" applyAlignment="1">
      <alignment horizontal="center" vertical="center"/>
    </xf>
    <xf numFmtId="38" fontId="4" fillId="6" borderId="1" xfId="0" applyNumberFormat="1" applyFont="1" applyFill="1" applyBorder="1" applyAlignment="1">
      <alignment vertical="center" wrapText="1"/>
    </xf>
    <xf numFmtId="2" fontId="7" fillId="4" borderId="1" xfId="0" applyNumberFormat="1" applyFont="1" applyFill="1" applyBorder="1" applyAlignment="1">
      <alignment horizontal="center" vertical="center" wrapText="1"/>
    </xf>
    <xf numFmtId="0" fontId="36" fillId="0" borderId="17" xfId="15" applyFont="1" applyBorder="1" applyAlignment="1">
      <alignment horizontal="center" vertical="center"/>
    </xf>
    <xf numFmtId="0" fontId="36" fillId="0" borderId="15" xfId="15" applyFont="1" applyBorder="1" applyAlignment="1">
      <alignment horizontal="center" vertical="center"/>
    </xf>
    <xf numFmtId="0" fontId="36" fillId="0" borderId="16" xfId="15" applyFont="1" applyBorder="1" applyAlignment="1">
      <alignment horizontal="center" vertical="center"/>
    </xf>
    <xf numFmtId="0" fontId="36" fillId="0" borderId="39" xfId="15" applyFont="1" applyBorder="1" applyAlignment="1">
      <alignment horizontal="center" vertical="center"/>
    </xf>
    <xf numFmtId="0" fontId="36" fillId="0" borderId="9" xfId="15" applyFont="1" applyBorder="1" applyAlignment="1">
      <alignment horizontal="center" vertical="center"/>
    </xf>
    <xf numFmtId="0" fontId="36" fillId="0" borderId="29" xfId="15" applyFont="1" applyBorder="1" applyAlignment="1">
      <alignment horizontal="center" vertical="center"/>
    </xf>
    <xf numFmtId="0" fontId="47" fillId="0" borderId="17" xfId="15" applyFont="1" applyBorder="1" applyAlignment="1">
      <alignment horizontal="center" vertical="center"/>
    </xf>
    <xf numFmtId="0" fontId="47" fillId="0" borderId="15" xfId="15" applyFont="1" applyBorder="1" applyAlignment="1">
      <alignment horizontal="center" vertical="center"/>
    </xf>
    <xf numFmtId="0" fontId="47" fillId="0" borderId="16" xfId="15" applyFont="1" applyBorder="1" applyAlignment="1">
      <alignment horizontal="center" vertical="center"/>
    </xf>
    <xf numFmtId="0" fontId="47" fillId="0" borderId="39" xfId="15" applyFont="1" applyBorder="1" applyAlignment="1">
      <alignment horizontal="center" vertical="center"/>
    </xf>
    <xf numFmtId="0" fontId="47" fillId="0" borderId="9" xfId="15" applyFont="1" applyBorder="1" applyAlignment="1">
      <alignment horizontal="center" vertical="center"/>
    </xf>
    <xf numFmtId="0" fontId="47" fillId="0" borderId="29" xfId="15" applyFont="1" applyBorder="1" applyAlignment="1">
      <alignment horizontal="center" vertical="center"/>
    </xf>
    <xf numFmtId="0" fontId="37" fillId="0" borderId="40" xfId="15" applyFont="1" applyBorder="1" applyAlignment="1">
      <alignment horizontal="center" vertical="center"/>
    </xf>
    <xf numFmtId="0" fontId="37" fillId="0" borderId="6" xfId="15" applyFont="1" applyBorder="1" applyAlignment="1">
      <alignment horizontal="center" vertical="center"/>
    </xf>
    <xf numFmtId="0" fontId="37" fillId="0" borderId="7" xfId="15" applyFont="1" applyBorder="1" applyAlignment="1">
      <alignment horizontal="center" vertical="center"/>
    </xf>
    <xf numFmtId="0" fontId="37" fillId="0" borderId="39" xfId="15" applyFont="1" applyBorder="1" applyAlignment="1">
      <alignment horizontal="center" vertical="center"/>
    </xf>
    <xf numFmtId="0" fontId="37" fillId="0" borderId="9" xfId="15" applyFont="1" applyBorder="1" applyAlignment="1">
      <alignment horizontal="center" vertical="center"/>
    </xf>
    <xf numFmtId="0" fontId="37" fillId="0" borderId="10" xfId="15" applyFont="1" applyBorder="1" applyAlignment="1">
      <alignment horizontal="center" vertical="center"/>
    </xf>
    <xf numFmtId="0" fontId="37" fillId="0" borderId="58" xfId="15" applyFont="1" applyBorder="1" applyAlignment="1">
      <alignment horizontal="center" vertical="center"/>
    </xf>
    <xf numFmtId="0" fontId="37" fillId="0" borderId="1" xfId="15" applyFont="1" applyBorder="1" applyAlignment="1">
      <alignment horizontal="center" vertical="center"/>
    </xf>
    <xf numFmtId="0" fontId="36" fillId="0" borderId="1" xfId="15" applyFont="1" applyBorder="1" applyAlignment="1">
      <alignment horizontal="center" vertical="center" wrapText="1"/>
    </xf>
    <xf numFmtId="0" fontId="36" fillId="0" borderId="1" xfId="15" applyFont="1" applyBorder="1" applyAlignment="1">
      <alignment horizontal="center"/>
    </xf>
    <xf numFmtId="0" fontId="38" fillId="0" borderId="1" xfId="15" applyFont="1" applyBorder="1" applyAlignment="1">
      <alignment horizontal="center" vertical="center"/>
    </xf>
    <xf numFmtId="0" fontId="38" fillId="0" borderId="5" xfId="15" applyFont="1" applyBorder="1" applyAlignment="1">
      <alignment horizontal="center" vertical="center"/>
    </xf>
    <xf numFmtId="0" fontId="38" fillId="0" borderId="47" xfId="15" applyFont="1" applyBorder="1" applyAlignment="1">
      <alignment horizontal="center" vertical="center"/>
    </xf>
    <xf numFmtId="0" fontId="38" fillId="0" borderId="8" xfId="15" applyFont="1" applyBorder="1" applyAlignment="1">
      <alignment horizontal="center" vertical="center"/>
    </xf>
    <xf numFmtId="0" fontId="38" fillId="0" borderId="29" xfId="15" applyFont="1" applyBorder="1" applyAlignment="1">
      <alignment horizontal="center" vertical="center"/>
    </xf>
    <xf numFmtId="0" fontId="39" fillId="0" borderId="23" xfId="15" applyFont="1" applyBorder="1" applyAlignment="1">
      <alignment horizontal="center" vertical="center"/>
    </xf>
    <xf numFmtId="0" fontId="39" fillId="0" borderId="24" xfId="15" applyFont="1" applyBorder="1" applyAlignment="1">
      <alignment horizontal="center" vertical="center"/>
    </xf>
    <xf numFmtId="0" fontId="39" fillId="0" borderId="57" xfId="15" applyFont="1" applyBorder="1" applyAlignment="1">
      <alignment horizontal="center" vertical="center"/>
    </xf>
    <xf numFmtId="0" fontId="39" fillId="0" borderId="45" xfId="15" applyFont="1" applyBorder="1" applyAlignment="1">
      <alignment horizontal="center" vertical="center"/>
    </xf>
    <xf numFmtId="0" fontId="38" fillId="0" borderId="51" xfId="15" applyFont="1" applyBorder="1" applyAlignment="1">
      <alignment horizontal="center" vertical="center"/>
    </xf>
    <xf numFmtId="0" fontId="38" fillId="0" borderId="3" xfId="15" applyFont="1" applyBorder="1" applyAlignment="1">
      <alignment horizontal="center" vertical="center"/>
    </xf>
    <xf numFmtId="0" fontId="38" fillId="0" borderId="6" xfId="15" applyFont="1" applyBorder="1" applyAlignment="1">
      <alignment horizontal="center" vertical="center"/>
    </xf>
    <xf numFmtId="0" fontId="38" fillId="0" borderId="39" xfId="15" applyFont="1" applyBorder="1" applyAlignment="1">
      <alignment horizontal="center" vertical="center"/>
    </xf>
    <xf numFmtId="0" fontId="38" fillId="0" borderId="9" xfId="15" applyFont="1" applyBorder="1" applyAlignment="1">
      <alignment horizontal="center" vertical="center"/>
    </xf>
    <xf numFmtId="0" fontId="38" fillId="0" borderId="40" xfId="15" applyFont="1" applyBorder="1" applyAlignment="1">
      <alignment horizontal="center" vertical="center"/>
    </xf>
    <xf numFmtId="0" fontId="38" fillId="0" borderId="7" xfId="15" applyFont="1" applyBorder="1" applyAlignment="1">
      <alignment horizontal="center" vertical="center"/>
    </xf>
    <xf numFmtId="0" fontId="38" fillId="0" borderId="10" xfId="15" applyFont="1" applyBorder="1" applyAlignment="1">
      <alignment horizontal="center" vertical="center"/>
    </xf>
    <xf numFmtId="173" fontId="38" fillId="0" borderId="11" xfId="15" applyNumberFormat="1" applyFont="1" applyBorder="1" applyAlignment="1">
      <alignment horizontal="center" vertical="center"/>
    </xf>
    <xf numFmtId="173" fontId="38" fillId="0" borderId="12" xfId="15" applyNumberFormat="1" applyFont="1" applyBorder="1" applyAlignment="1">
      <alignment horizontal="center" vertical="center"/>
    </xf>
    <xf numFmtId="0" fontId="38" fillId="0" borderId="11" xfId="15" applyFont="1" applyBorder="1" applyAlignment="1">
      <alignment horizontal="center" vertical="center"/>
    </xf>
    <xf numFmtId="0" fontId="38" fillId="0" borderId="12" xfId="15" applyFont="1" applyBorder="1" applyAlignment="1">
      <alignment horizontal="center" vertical="center"/>
    </xf>
    <xf numFmtId="0" fontId="38" fillId="0" borderId="58" xfId="15" applyFont="1" applyBorder="1" applyAlignment="1">
      <alignment horizontal="center" vertical="center"/>
    </xf>
    <xf numFmtId="0" fontId="40" fillId="0" borderId="32" xfId="15" applyFont="1" applyBorder="1" applyAlignment="1">
      <alignment horizontal="left" vertical="center" wrapText="1"/>
    </xf>
    <xf numFmtId="0" fontId="40" fillId="0" borderId="38" xfId="15" applyFont="1" applyBorder="1" applyAlignment="1">
      <alignment horizontal="left" vertical="center" wrapText="1"/>
    </xf>
    <xf numFmtId="0" fontId="40" fillId="0" borderId="44" xfId="15" applyFont="1" applyBorder="1" applyAlignment="1">
      <alignment horizontal="left" vertical="center" wrapText="1"/>
    </xf>
    <xf numFmtId="0" fontId="11" fillId="0" borderId="52" xfId="0" applyFont="1" applyBorder="1" applyAlignment="1">
      <alignment horizontal="center" vertical="center"/>
    </xf>
    <xf numFmtId="0" fontId="11" fillId="0" borderId="50" xfId="0" applyFont="1" applyBorder="1" applyAlignment="1">
      <alignment horizontal="center" vertical="center"/>
    </xf>
    <xf numFmtId="0" fontId="36" fillId="0" borderId="8" xfId="15" applyFont="1" applyBorder="1" applyAlignment="1">
      <alignment horizontal="center" vertical="center"/>
    </xf>
    <xf numFmtId="0" fontId="11" fillId="0" borderId="2" xfId="0" applyFont="1" applyBorder="1" applyAlignment="1">
      <alignment horizontal="center" vertical="center"/>
    </xf>
    <xf numFmtId="0" fontId="11" fillId="0" borderId="25" xfId="0" applyFont="1" applyBorder="1" applyAlignment="1">
      <alignment horizontal="center" vertical="center"/>
    </xf>
    <xf numFmtId="0" fontId="36" fillId="0" borderId="2" xfId="15" applyFont="1" applyBorder="1" applyAlignment="1">
      <alignment horizontal="center" vertical="center"/>
    </xf>
    <xf numFmtId="0" fontId="36" fillId="0" borderId="25" xfId="15" applyFont="1" applyBorder="1" applyAlignment="1">
      <alignment horizontal="center" vertical="center"/>
    </xf>
    <xf numFmtId="0" fontId="11" fillId="0" borderId="33" xfId="0" applyFont="1" applyBorder="1" applyAlignment="1">
      <alignment horizontal="center" vertical="center"/>
    </xf>
    <xf numFmtId="0" fontId="11" fillId="0" borderId="45" xfId="0" applyFont="1" applyBorder="1" applyAlignment="1">
      <alignment horizontal="center" vertical="center"/>
    </xf>
    <xf numFmtId="0" fontId="36" fillId="0" borderId="33" xfId="15" applyFont="1" applyBorder="1" applyAlignment="1">
      <alignment horizontal="center" vertical="center"/>
    </xf>
    <xf numFmtId="0" fontId="36" fillId="0" borderId="45" xfId="15" applyFont="1" applyBorder="1" applyAlignment="1">
      <alignment horizontal="center" vertical="center"/>
    </xf>
    <xf numFmtId="0" fontId="40" fillId="0" borderId="58" xfId="15" applyFont="1" applyBorder="1" applyAlignment="1">
      <alignment horizontal="left" vertical="center" wrapText="1"/>
    </xf>
    <xf numFmtId="0" fontId="18" fillId="0" borderId="2" xfId="0" applyFont="1" applyBorder="1" applyAlignment="1">
      <alignment horizontal="center" vertical="center"/>
    </xf>
    <xf numFmtId="0" fontId="18" fillId="0" borderId="25" xfId="0" applyFont="1" applyBorder="1" applyAlignment="1">
      <alignment horizontal="center" vertical="center"/>
    </xf>
    <xf numFmtId="0" fontId="18" fillId="0" borderId="0" xfId="0" applyFont="1" applyAlignment="1">
      <alignment horizontal="left" vertical="top"/>
    </xf>
    <xf numFmtId="0" fontId="18" fillId="0" borderId="2" xfId="0" applyFont="1" applyBorder="1" applyAlignment="1">
      <alignment horizontal="center" vertical="center" wrapText="1"/>
    </xf>
    <xf numFmtId="0" fontId="18" fillId="0" borderId="25" xfId="0" applyFont="1" applyBorder="1" applyAlignment="1">
      <alignment horizontal="center" vertical="center" wrapText="1"/>
    </xf>
    <xf numFmtId="0" fontId="40" fillId="0" borderId="43" xfId="15" applyFont="1" applyBorder="1" applyAlignment="1">
      <alignment horizontal="left" vertical="center" wrapText="1"/>
    </xf>
    <xf numFmtId="0" fontId="7" fillId="14" borderId="2" xfId="2" applyFont="1" applyFill="1" applyBorder="1" applyAlignment="1">
      <alignment horizontal="center" vertical="center"/>
    </xf>
    <xf numFmtId="0" fontId="7" fillId="14" borderId="4" xfId="2" applyFont="1" applyFill="1" applyBorder="1" applyAlignment="1">
      <alignment horizontal="center" vertical="center"/>
    </xf>
    <xf numFmtId="0" fontId="7" fillId="14" borderId="3" xfId="2" applyFont="1" applyFill="1" applyBorder="1" applyAlignment="1">
      <alignment horizontal="center" vertical="center"/>
    </xf>
    <xf numFmtId="175" fontId="4" fillId="0" borderId="11" xfId="8" applyNumberFormat="1" applyFont="1" applyBorder="1" applyAlignment="1">
      <alignment horizontal="right"/>
    </xf>
    <xf numFmtId="175" fontId="4" fillId="0" borderId="12" xfId="8" applyNumberFormat="1" applyFont="1" applyBorder="1" applyAlignment="1">
      <alignment horizontal="right"/>
    </xf>
    <xf numFmtId="0" fontId="4" fillId="0" borderId="11" xfId="0" applyFont="1" applyBorder="1" applyAlignment="1">
      <alignment horizontal="left" vertical="center" wrapText="1"/>
    </xf>
    <xf numFmtId="0" fontId="4" fillId="0" borderId="12" xfId="0" applyFont="1" applyBorder="1" applyAlignment="1">
      <alignment horizontal="left" vertical="center" wrapText="1"/>
    </xf>
    <xf numFmtId="0" fontId="6" fillId="0" borderId="11" xfId="2" applyFont="1" applyBorder="1" applyAlignment="1">
      <alignment horizontal="left" vertical="center" wrapText="1"/>
    </xf>
    <xf numFmtId="0" fontId="6" fillId="0" borderId="12" xfId="2" applyFont="1" applyBorder="1" applyAlignment="1">
      <alignment horizontal="left" vertical="center" wrapText="1"/>
    </xf>
    <xf numFmtId="177" fontId="3" fillId="0" borderId="11" xfId="0" applyNumberFormat="1" applyFont="1" applyBorder="1" applyAlignment="1">
      <alignment horizontal="left" vertical="center" wrapText="1"/>
    </xf>
    <xf numFmtId="177" fontId="3" fillId="0" borderId="12" xfId="0" applyNumberFormat="1" applyFont="1" applyBorder="1" applyAlignment="1">
      <alignment horizontal="left" vertical="center" wrapText="1"/>
    </xf>
    <xf numFmtId="0" fontId="6" fillId="0" borderId="0" xfId="2" applyFont="1" applyAlignment="1">
      <alignment horizontal="center" vertical="center"/>
    </xf>
    <xf numFmtId="0" fontId="7" fillId="2" borderId="2" xfId="2" applyFont="1" applyFill="1" applyBorder="1" applyAlignment="1">
      <alignment horizontal="center" vertical="center"/>
    </xf>
    <xf numFmtId="0" fontId="7" fillId="2" borderId="3" xfId="2" applyFont="1" applyFill="1" applyBorder="1" applyAlignment="1">
      <alignment horizontal="center" vertical="center"/>
    </xf>
    <xf numFmtId="0" fontId="7" fillId="2" borderId="4" xfId="2" applyFont="1" applyFill="1" applyBorder="1" applyAlignment="1">
      <alignment horizontal="center" vertical="center"/>
    </xf>
    <xf numFmtId="0" fontId="6" fillId="0" borderId="11" xfId="2" applyFont="1" applyBorder="1" applyAlignment="1">
      <alignment horizontal="center" vertical="center" wrapText="1"/>
    </xf>
    <xf numFmtId="0" fontId="6" fillId="0" borderId="12" xfId="2" applyFont="1" applyBorder="1" applyAlignment="1">
      <alignment horizontal="center" vertical="center" wrapText="1"/>
    </xf>
    <xf numFmtId="169" fontId="4" fillId="0" borderId="11" xfId="0" applyNumberFormat="1" applyFont="1" applyBorder="1" applyAlignment="1">
      <alignment vertical="center" wrapText="1"/>
    </xf>
    <xf numFmtId="169" fontId="4" fillId="0" borderId="12" xfId="0" applyNumberFormat="1" applyFont="1" applyBorder="1" applyAlignment="1">
      <alignment vertical="center" wrapText="1"/>
    </xf>
    <xf numFmtId="169" fontId="4" fillId="0" borderId="11" xfId="0" applyNumberFormat="1" applyFont="1" applyBorder="1" applyAlignment="1">
      <alignment horizontal="right" vertical="center" wrapText="1"/>
    </xf>
    <xf numFmtId="169" fontId="4" fillId="0" borderId="12" xfId="0" applyNumberFormat="1" applyFont="1" applyBorder="1" applyAlignment="1">
      <alignment horizontal="right" vertical="center" wrapText="1"/>
    </xf>
    <xf numFmtId="169" fontId="6" fillId="0" borderId="11" xfId="0" applyNumberFormat="1" applyFont="1" applyBorder="1" applyAlignment="1">
      <alignment vertical="center" wrapText="1"/>
    </xf>
    <xf numFmtId="169" fontId="6" fillId="0" borderId="12" xfId="0" applyNumberFormat="1" applyFont="1" applyBorder="1" applyAlignment="1">
      <alignment vertical="center" wrapText="1"/>
    </xf>
    <xf numFmtId="0" fontId="1" fillId="0" borderId="17" xfId="12" applyBorder="1" applyAlignment="1">
      <alignment horizontal="center"/>
    </xf>
    <xf numFmtId="0" fontId="1" fillId="0" borderId="15" xfId="12" applyBorder="1" applyAlignment="1">
      <alignment horizontal="center"/>
    </xf>
    <xf numFmtId="0" fontId="1" fillId="0" borderId="16" xfId="12" applyBorder="1" applyAlignment="1">
      <alignment horizontal="center"/>
    </xf>
    <xf numFmtId="0" fontId="1" fillId="0" borderId="21" xfId="12" applyBorder="1" applyAlignment="1">
      <alignment horizontal="center"/>
    </xf>
    <xf numFmtId="0" fontId="1" fillId="0" borderId="0" xfId="12" applyAlignment="1">
      <alignment horizontal="center"/>
    </xf>
    <xf numFmtId="0" fontId="1" fillId="0" borderId="20" xfId="12" applyBorder="1" applyAlignment="1">
      <alignment horizontal="center"/>
    </xf>
    <xf numFmtId="0" fontId="24" fillId="0" borderId="15" xfId="12" applyFont="1" applyBorder="1" applyAlignment="1">
      <alignment horizontal="center" vertical="center"/>
    </xf>
    <xf numFmtId="0" fontId="24" fillId="0" borderId="0" xfId="12" applyFont="1" applyAlignment="1">
      <alignment horizontal="center" vertical="center"/>
    </xf>
    <xf numFmtId="0" fontId="56" fillId="0" borderId="17" xfId="12" applyFont="1" applyBorder="1" applyAlignment="1">
      <alignment horizontal="center"/>
    </xf>
    <xf numFmtId="0" fontId="56" fillId="0" borderId="16" xfId="12" applyFont="1" applyBorder="1" applyAlignment="1">
      <alignment horizontal="center"/>
    </xf>
    <xf numFmtId="0" fontId="56" fillId="0" borderId="21" xfId="12" applyFont="1" applyBorder="1" applyAlignment="1">
      <alignment horizontal="center"/>
    </xf>
    <xf numFmtId="0" fontId="56" fillId="0" borderId="20" xfId="12" applyFont="1" applyBorder="1" applyAlignment="1">
      <alignment horizontal="center"/>
    </xf>
    <xf numFmtId="14" fontId="2" fillId="0" borderId="0" xfId="12" applyNumberFormat="1" applyFont="1" applyAlignment="1">
      <alignment horizontal="center" vertical="center"/>
    </xf>
    <xf numFmtId="0" fontId="57" fillId="0" borderId="0" xfId="12" applyFont="1" applyAlignment="1">
      <alignment horizontal="center" vertical="center"/>
    </xf>
    <xf numFmtId="0" fontId="58" fillId="0" borderId="0" xfId="12" applyFont="1" applyAlignment="1">
      <alignment horizontal="center" vertical="center"/>
    </xf>
    <xf numFmtId="0" fontId="45" fillId="0" borderId="0" xfId="12" applyFont="1" applyAlignment="1">
      <alignment horizontal="center" vertical="center"/>
    </xf>
    <xf numFmtId="49" fontId="59" fillId="0" borderId="21" xfId="12" applyNumberFormat="1" applyFont="1" applyBorder="1" applyAlignment="1">
      <alignment horizontal="center" vertical="center" shrinkToFit="1"/>
    </xf>
    <xf numFmtId="49" fontId="59" fillId="0" borderId="20" xfId="12" applyNumberFormat="1" applyFont="1" applyBorder="1" applyAlignment="1">
      <alignment horizontal="center" vertical="center" shrinkToFit="1"/>
    </xf>
    <xf numFmtId="0" fontId="21" fillId="0" borderId="1" xfId="12" applyFont="1" applyBorder="1" applyAlignment="1">
      <alignment horizontal="center" vertical="center"/>
    </xf>
    <xf numFmtId="49" fontId="22" fillId="0" borderId="1" xfId="12" applyNumberFormat="1" applyFont="1" applyBorder="1" applyAlignment="1">
      <alignment horizontal="center" vertical="center" shrinkToFit="1"/>
    </xf>
    <xf numFmtId="0" fontId="23" fillId="0" borderId="1" xfId="12" applyFont="1" applyBorder="1" applyAlignment="1">
      <alignment horizontal="center"/>
    </xf>
    <xf numFmtId="0" fontId="29" fillId="0" borderId="21" xfId="12" applyFont="1" applyBorder="1" applyAlignment="1">
      <alignment horizontal="center" vertical="center"/>
    </xf>
    <xf numFmtId="0" fontId="29" fillId="0" borderId="0" xfId="12" applyFont="1" applyAlignment="1">
      <alignment horizontal="center" vertical="center"/>
    </xf>
    <xf numFmtId="0" fontId="29" fillId="0" borderId="20" xfId="12" applyFont="1" applyBorder="1" applyAlignment="1">
      <alignment horizontal="center" vertical="center"/>
    </xf>
    <xf numFmtId="0" fontId="21" fillId="14" borderId="21" xfId="12" applyFont="1" applyFill="1" applyBorder="1" applyAlignment="1">
      <alignment horizontal="center" vertical="center" wrapText="1"/>
    </xf>
    <xf numFmtId="0" fontId="21" fillId="14" borderId="0" xfId="12" applyFont="1" applyFill="1" applyAlignment="1">
      <alignment horizontal="center" vertical="center" wrapText="1"/>
    </xf>
    <xf numFmtId="0" fontId="21" fillId="14" borderId="20" xfId="12" applyFont="1" applyFill="1" applyBorder="1" applyAlignment="1">
      <alignment horizontal="center" vertical="center" wrapText="1"/>
    </xf>
    <xf numFmtId="0" fontId="21" fillId="14" borderId="22" xfId="12" applyFont="1" applyFill="1" applyBorder="1" applyAlignment="1">
      <alignment horizontal="center" vertical="center" wrapText="1"/>
    </xf>
    <xf numFmtId="0" fontId="21" fillId="14" borderId="23" xfId="12" applyFont="1" applyFill="1" applyBorder="1" applyAlignment="1">
      <alignment horizontal="center" vertical="center" wrapText="1"/>
    </xf>
    <xf numFmtId="0" fontId="21" fillId="14" borderId="24" xfId="12" applyFont="1" applyFill="1" applyBorder="1" applyAlignment="1">
      <alignment horizontal="center" vertical="center" wrapText="1"/>
    </xf>
    <xf numFmtId="0" fontId="2" fillId="14" borderId="21" xfId="12" applyFont="1" applyFill="1" applyBorder="1" applyAlignment="1">
      <alignment horizontal="center" vertical="center" wrapText="1"/>
    </xf>
    <xf numFmtId="0" fontId="2" fillId="14" borderId="0" xfId="12" applyFont="1" applyFill="1" applyAlignment="1">
      <alignment horizontal="center" vertical="center" wrapText="1"/>
    </xf>
    <xf numFmtId="0" fontId="2" fillId="14" borderId="20" xfId="12" applyFont="1" applyFill="1" applyBorder="1" applyAlignment="1">
      <alignment horizontal="center" vertical="center" wrapText="1"/>
    </xf>
    <xf numFmtId="0" fontId="2" fillId="14" borderId="22" xfId="12" applyFont="1" applyFill="1" applyBorder="1" applyAlignment="1">
      <alignment horizontal="center" vertical="center" wrapText="1"/>
    </xf>
    <xf numFmtId="0" fontId="2" fillId="14" borderId="23" xfId="12" applyFont="1" applyFill="1" applyBorder="1" applyAlignment="1">
      <alignment horizontal="center" vertical="center" wrapText="1"/>
    </xf>
    <xf numFmtId="0" fontId="2" fillId="14" borderId="24" xfId="12" applyFont="1" applyFill="1" applyBorder="1" applyAlignment="1">
      <alignment horizontal="center" vertical="center" wrapText="1"/>
    </xf>
    <xf numFmtId="0" fontId="29" fillId="0" borderId="17" xfId="12" applyFont="1" applyBorder="1" applyAlignment="1">
      <alignment horizontal="center" vertical="center"/>
    </xf>
    <xf numFmtId="0" fontId="29" fillId="0" borderId="15" xfId="12" applyFont="1" applyBorder="1" applyAlignment="1">
      <alignment horizontal="center" vertical="center"/>
    </xf>
    <xf numFmtId="0" fontId="29" fillId="0" borderId="16" xfId="12" applyFont="1" applyBorder="1" applyAlignment="1">
      <alignment horizontal="center" vertical="center"/>
    </xf>
    <xf numFmtId="0" fontId="9" fillId="20" borderId="17" xfId="12" applyFont="1" applyFill="1" applyBorder="1" applyAlignment="1">
      <alignment horizontal="center" vertical="center" wrapText="1"/>
    </xf>
    <xf numFmtId="0" fontId="9" fillId="20" borderId="15" xfId="12" applyFont="1" applyFill="1" applyBorder="1" applyAlignment="1">
      <alignment horizontal="center" vertical="center" wrapText="1"/>
    </xf>
    <xf numFmtId="0" fontId="9" fillId="20" borderId="16" xfId="12" applyFont="1" applyFill="1" applyBorder="1" applyAlignment="1">
      <alignment horizontal="center" vertical="center" wrapText="1"/>
    </xf>
    <xf numFmtId="0" fontId="9" fillId="20" borderId="22" xfId="12" applyFont="1" applyFill="1" applyBorder="1" applyAlignment="1">
      <alignment horizontal="center" vertical="center" wrapText="1"/>
    </xf>
    <xf numFmtId="0" fontId="9" fillId="20" borderId="23" xfId="12" applyFont="1" applyFill="1" applyBorder="1" applyAlignment="1">
      <alignment horizontal="center" vertical="center" wrapText="1"/>
    </xf>
    <xf numFmtId="0" fontId="9" fillId="20" borderId="24"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2"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29" fillId="0" borderId="0" xfId="12" applyFont="1" applyBorder="1" applyAlignment="1">
      <alignment horizontal="center" vertical="center"/>
    </xf>
    <xf numFmtId="0" fontId="29" fillId="0" borderId="22" xfId="12" applyFont="1" applyBorder="1" applyAlignment="1">
      <alignment horizontal="center" vertical="center"/>
    </xf>
    <xf numFmtId="0" fontId="29" fillId="0" borderId="23" xfId="12" applyFont="1" applyBorder="1" applyAlignment="1">
      <alignment horizontal="center" vertical="center"/>
    </xf>
    <xf numFmtId="0" fontId="29" fillId="0" borderId="24" xfId="12" applyFont="1" applyBorder="1" applyAlignment="1">
      <alignment horizontal="center" vertical="center"/>
    </xf>
    <xf numFmtId="0" fontId="19" fillId="20" borderId="17" xfId="12" applyFont="1" applyFill="1" applyBorder="1" applyAlignment="1">
      <alignment horizontal="center" vertical="center" wrapText="1"/>
    </xf>
    <xf numFmtId="0" fontId="24" fillId="0" borderId="16" xfId="12" applyFont="1" applyBorder="1" applyAlignment="1">
      <alignment horizontal="center" vertical="center"/>
    </xf>
    <xf numFmtId="0" fontId="24" fillId="0" borderId="0" xfId="12" applyFont="1" applyBorder="1" applyAlignment="1">
      <alignment horizontal="center" vertical="center"/>
    </xf>
    <xf numFmtId="0" fontId="24" fillId="0" borderId="20" xfId="12" applyFont="1" applyBorder="1" applyAlignment="1">
      <alignment horizontal="center" vertical="center"/>
    </xf>
    <xf numFmtId="0" fontId="2" fillId="0" borderId="3" xfId="12" applyFont="1" applyBorder="1" applyAlignment="1">
      <alignment horizontal="center" vertical="center"/>
    </xf>
    <xf numFmtId="0" fontId="2" fillId="0" borderId="4" xfId="12" applyFont="1" applyBorder="1" applyAlignment="1">
      <alignment horizontal="center" vertical="center"/>
    </xf>
    <xf numFmtId="0" fontId="2" fillId="0" borderId="2" xfId="12" applyFont="1" applyBorder="1" applyAlignment="1">
      <alignment horizontal="center" vertical="center"/>
    </xf>
    <xf numFmtId="14" fontId="2" fillId="0" borderId="2" xfId="12" applyNumberFormat="1" applyFont="1" applyBorder="1" applyAlignment="1">
      <alignment horizontal="center" vertical="center"/>
    </xf>
    <xf numFmtId="0" fontId="35" fillId="0" borderId="6" xfId="12" applyFont="1" applyBorder="1" applyAlignment="1">
      <alignment horizontal="center" vertical="center"/>
    </xf>
    <xf numFmtId="0" fontId="35" fillId="0" borderId="7" xfId="12" applyFont="1" applyBorder="1" applyAlignment="1">
      <alignment horizontal="center" vertical="center"/>
    </xf>
    <xf numFmtId="0" fontId="35" fillId="0" borderId="9" xfId="12" applyFont="1" applyBorder="1" applyAlignment="1">
      <alignment horizontal="center" vertical="center"/>
    </xf>
    <xf numFmtId="0" fontId="35" fillId="0" borderId="10" xfId="12" applyFont="1" applyBorder="1" applyAlignment="1">
      <alignment horizontal="center" vertical="center"/>
    </xf>
    <xf numFmtId="49" fontId="22" fillId="0" borderId="26" xfId="12" applyNumberFormat="1" applyFont="1" applyBorder="1" applyAlignment="1">
      <alignment horizontal="center" vertical="center" shrinkToFit="1"/>
    </xf>
    <xf numFmtId="0" fontId="23" fillId="14" borderId="17" xfId="13" applyFont="1" applyFill="1" applyBorder="1" applyAlignment="1">
      <alignment horizontal="center" vertical="center" wrapText="1"/>
    </xf>
    <xf numFmtId="0" fontId="23" fillId="14" borderId="15" xfId="13" applyFont="1" applyFill="1" applyBorder="1" applyAlignment="1">
      <alignment horizontal="center" vertical="center" wrapText="1"/>
    </xf>
    <xf numFmtId="0" fontId="23" fillId="14" borderId="16" xfId="13" applyFont="1" applyFill="1" applyBorder="1" applyAlignment="1">
      <alignment horizontal="center" vertical="center" wrapText="1"/>
    </xf>
    <xf numFmtId="0" fontId="23" fillId="14" borderId="22" xfId="13" applyFont="1" applyFill="1" applyBorder="1" applyAlignment="1">
      <alignment horizontal="center" vertical="center" wrapText="1"/>
    </xf>
    <xf numFmtId="0" fontId="23" fillId="14" borderId="23" xfId="13" applyFont="1" applyFill="1" applyBorder="1" applyAlignment="1">
      <alignment horizontal="center" vertical="center" wrapText="1"/>
    </xf>
    <xf numFmtId="0" fontId="23" fillId="14" borderId="24" xfId="13" applyFont="1" applyFill="1" applyBorder="1" applyAlignment="1">
      <alignment horizontal="center" vertical="center" wrapText="1"/>
    </xf>
    <xf numFmtId="0" fontId="24" fillId="0" borderId="17" xfId="12" applyFont="1" applyBorder="1" applyAlignment="1">
      <alignment horizontal="center" vertical="center"/>
    </xf>
    <xf numFmtId="0" fontId="24" fillId="0" borderId="21" xfId="12" applyFont="1" applyBorder="1" applyAlignment="1">
      <alignment horizontal="center" vertical="center"/>
    </xf>
    <xf numFmtId="14" fontId="2" fillId="0" borderId="3" xfId="12" applyNumberFormat="1" applyFont="1" applyBorder="1" applyAlignment="1">
      <alignment horizontal="center" vertical="center"/>
    </xf>
    <xf numFmtId="14" fontId="2" fillId="0" borderId="4" xfId="12" applyNumberFormat="1" applyFont="1" applyBorder="1" applyAlignment="1">
      <alignment horizontal="center" vertical="center"/>
    </xf>
    <xf numFmtId="0" fontId="35" fillId="0" borderId="40" xfId="12" applyFont="1" applyBorder="1" applyAlignment="1">
      <alignment horizontal="center" vertical="center"/>
    </xf>
    <xf numFmtId="0" fontId="35" fillId="0" borderId="21" xfId="12" applyFont="1" applyBorder="1" applyAlignment="1">
      <alignment horizontal="center" vertical="center"/>
    </xf>
    <xf numFmtId="0" fontId="35" fillId="0" borderId="0" xfId="12" applyFont="1" applyAlignment="1">
      <alignment horizontal="center" vertical="center"/>
    </xf>
    <xf numFmtId="0" fontId="35" fillId="0" borderId="14" xfId="12" applyFont="1" applyBorder="1" applyAlignment="1">
      <alignment horizontal="center" vertical="center"/>
    </xf>
    <xf numFmtId="49" fontId="22" fillId="0" borderId="11" xfId="12" applyNumberFormat="1" applyFont="1" applyBorder="1" applyAlignment="1">
      <alignment horizontal="center" vertical="center" shrinkToFit="1"/>
    </xf>
    <xf numFmtId="49" fontId="22" fillId="0" borderId="37" xfId="12" applyNumberFormat="1" applyFont="1" applyBorder="1" applyAlignment="1">
      <alignment horizontal="center" vertical="center" shrinkToFit="1"/>
    </xf>
    <xf numFmtId="0" fontId="2" fillId="21" borderId="17" xfId="12" applyFont="1" applyFill="1" applyBorder="1" applyAlignment="1">
      <alignment horizontal="center" vertical="center" wrapText="1"/>
    </xf>
    <xf numFmtId="0" fontId="2" fillId="21" borderId="22" xfId="12" applyFont="1" applyFill="1" applyBorder="1" applyAlignment="1">
      <alignment horizontal="center" vertical="center" wrapText="1"/>
    </xf>
    <xf numFmtId="0" fontId="35" fillId="0" borderId="48" xfId="12" applyFont="1" applyBorder="1" applyAlignment="1">
      <alignment horizontal="center" vertical="center"/>
    </xf>
    <xf numFmtId="0" fontId="35" fillId="0" borderId="49" xfId="12" applyFont="1" applyBorder="1" applyAlignment="1">
      <alignment horizontal="center" vertical="center"/>
    </xf>
    <xf numFmtId="0" fontId="35" fillId="0" borderId="50" xfId="12" applyFont="1" applyBorder="1" applyAlignment="1">
      <alignment horizontal="center" vertical="center"/>
    </xf>
    <xf numFmtId="0" fontId="35" fillId="0" borderId="41" xfId="12" applyFont="1" applyBorder="1" applyAlignment="1">
      <alignment horizontal="center" vertical="center"/>
    </xf>
    <xf numFmtId="0" fontId="35" fillId="0" borderId="36" xfId="12" applyFont="1" applyBorder="1" applyAlignment="1">
      <alignment horizontal="center" vertical="center"/>
    </xf>
    <xf numFmtId="0" fontId="35" fillId="0" borderId="42" xfId="12" applyFont="1" applyBorder="1" applyAlignment="1">
      <alignment horizontal="center" vertical="center"/>
    </xf>
    <xf numFmtId="0" fontId="44" fillId="7" borderId="17" xfId="12" applyFont="1" applyFill="1" applyBorder="1" applyAlignment="1">
      <alignment horizontal="center" vertical="center" wrapText="1"/>
    </xf>
    <xf numFmtId="0" fontId="44" fillId="7" borderId="15" xfId="12" applyFont="1" applyFill="1" applyBorder="1" applyAlignment="1">
      <alignment horizontal="center" vertical="center" wrapText="1"/>
    </xf>
    <xf numFmtId="0" fontId="44" fillId="7" borderId="16" xfId="12" applyFont="1" applyFill="1" applyBorder="1" applyAlignment="1">
      <alignment horizontal="center" vertical="center" wrapText="1"/>
    </xf>
    <xf numFmtId="0" fontId="44" fillId="7" borderId="22" xfId="12" applyFont="1" applyFill="1" applyBorder="1" applyAlignment="1">
      <alignment horizontal="center" vertical="center" wrapText="1"/>
    </xf>
    <xf numFmtId="0" fontId="44" fillId="7" borderId="23" xfId="12" applyFont="1" applyFill="1" applyBorder="1" applyAlignment="1">
      <alignment horizontal="center" vertical="center" wrapText="1"/>
    </xf>
    <xf numFmtId="0" fontId="44" fillId="7" borderId="24" xfId="12" applyFont="1" applyFill="1" applyBorder="1" applyAlignment="1">
      <alignment horizontal="center" vertical="center" wrapText="1"/>
    </xf>
    <xf numFmtId="0" fontId="19" fillId="7" borderId="17" xfId="12" applyFont="1" applyFill="1" applyBorder="1" applyAlignment="1">
      <alignment horizontal="center" vertical="center" wrapText="1"/>
    </xf>
    <xf numFmtId="0" fontId="19" fillId="7" borderId="22" xfId="12" applyFont="1" applyFill="1" applyBorder="1" applyAlignment="1">
      <alignment horizontal="center" vertical="center" wrapText="1"/>
    </xf>
    <xf numFmtId="0" fontId="19" fillId="7" borderId="15" xfId="12" applyFont="1" applyFill="1" applyBorder="1" applyAlignment="1">
      <alignment horizontal="center" vertical="center" wrapText="1"/>
    </xf>
    <xf numFmtId="0" fontId="19" fillId="7" borderId="16" xfId="12" applyFont="1" applyFill="1" applyBorder="1" applyAlignment="1">
      <alignment horizontal="center" vertical="center" wrapText="1"/>
    </xf>
    <xf numFmtId="0" fontId="19" fillId="7" borderId="23" xfId="12" applyFont="1" applyFill="1" applyBorder="1" applyAlignment="1">
      <alignment horizontal="center" vertical="center" wrapText="1"/>
    </xf>
    <xf numFmtId="0" fontId="19" fillId="7" borderId="24" xfId="12" applyFont="1" applyFill="1" applyBorder="1" applyAlignment="1">
      <alignment horizontal="center" vertical="center" wrapText="1"/>
    </xf>
    <xf numFmtId="0" fontId="53" fillId="7" borderId="17" xfId="17" applyFont="1" applyFill="1" applyBorder="1" applyAlignment="1">
      <alignment horizontal="center" vertical="center" wrapText="1"/>
    </xf>
    <xf numFmtId="0" fontId="53" fillId="7" borderId="15" xfId="17" applyFont="1" applyFill="1" applyBorder="1" applyAlignment="1">
      <alignment horizontal="center" vertical="center" wrapText="1"/>
    </xf>
    <xf numFmtId="0" fontId="53" fillId="7" borderId="16" xfId="17" applyFont="1" applyFill="1" applyBorder="1" applyAlignment="1">
      <alignment horizontal="center" vertical="center" wrapText="1"/>
    </xf>
    <xf numFmtId="0" fontId="53" fillId="7" borderId="22" xfId="17" applyFont="1" applyFill="1" applyBorder="1" applyAlignment="1">
      <alignment horizontal="center" vertical="center" wrapText="1"/>
    </xf>
    <xf numFmtId="0" fontId="53" fillId="7" borderId="23" xfId="17" applyFont="1" applyFill="1" applyBorder="1" applyAlignment="1">
      <alignment horizontal="center" vertical="center" wrapText="1"/>
    </xf>
    <xf numFmtId="0" fontId="53" fillId="7" borderId="24" xfId="17" applyFont="1" applyFill="1" applyBorder="1" applyAlignment="1">
      <alignment horizontal="center" vertical="center" wrapText="1"/>
    </xf>
    <xf numFmtId="0" fontId="60" fillId="7" borderId="17" xfId="17" applyFont="1" applyFill="1" applyBorder="1" applyAlignment="1">
      <alignment horizontal="center" vertical="center" wrapText="1"/>
    </xf>
    <xf numFmtId="0" fontId="60" fillId="7" borderId="15" xfId="17" applyFont="1" applyFill="1" applyBorder="1" applyAlignment="1">
      <alignment horizontal="center" vertical="center" wrapText="1"/>
    </xf>
    <xf numFmtId="0" fontId="60" fillId="7" borderId="22" xfId="17" applyFont="1" applyFill="1" applyBorder="1" applyAlignment="1">
      <alignment horizontal="center" vertical="center" wrapText="1"/>
    </xf>
    <xf numFmtId="0" fontId="60" fillId="7" borderId="23" xfId="17" applyFont="1" applyFill="1" applyBorder="1" applyAlignment="1">
      <alignment horizontal="center" vertical="center" wrapText="1"/>
    </xf>
    <xf numFmtId="0" fontId="2" fillId="0" borderId="5" xfId="12" applyFont="1" applyBorder="1" applyAlignment="1">
      <alignment horizontal="center" vertical="center"/>
    </xf>
    <xf numFmtId="0" fontId="2" fillId="0" borderId="6" xfId="12" applyFont="1" applyBorder="1" applyAlignment="1">
      <alignment horizontal="center" vertical="center"/>
    </xf>
    <xf numFmtId="0" fontId="2" fillId="0" borderId="7" xfId="12" applyFont="1" applyBorder="1" applyAlignment="1">
      <alignment horizontal="center" vertical="center"/>
    </xf>
    <xf numFmtId="14" fontId="30" fillId="0" borderId="2" xfId="7" applyNumberFormat="1" applyFont="1" applyBorder="1" applyAlignment="1">
      <alignment horizontal="center" vertical="center"/>
    </xf>
    <xf numFmtId="14" fontId="30" fillId="0" borderId="3" xfId="7" applyNumberFormat="1" applyFont="1" applyBorder="1" applyAlignment="1">
      <alignment horizontal="center" vertical="center"/>
    </xf>
    <xf numFmtId="14" fontId="30" fillId="0" borderId="4" xfId="7" applyNumberFormat="1" applyFont="1" applyBorder="1" applyAlignment="1">
      <alignment horizontal="center" vertical="center"/>
    </xf>
    <xf numFmtId="0" fontId="35" fillId="0" borderId="17" xfId="12" applyFont="1" applyBorder="1" applyAlignment="1">
      <alignment horizontal="center" vertical="center"/>
    </xf>
    <xf numFmtId="0" fontId="35" fillId="0" borderId="15" xfId="12" applyFont="1" applyBorder="1" applyAlignment="1">
      <alignment horizontal="center" vertical="center"/>
    </xf>
    <xf numFmtId="0" fontId="35" fillId="0" borderId="16" xfId="12" applyFont="1" applyBorder="1" applyAlignment="1">
      <alignment horizontal="center" vertical="center"/>
    </xf>
    <xf numFmtId="0" fontId="35" fillId="0" borderId="22" xfId="12" applyFont="1" applyBorder="1" applyAlignment="1">
      <alignment horizontal="center" vertical="center"/>
    </xf>
    <xf numFmtId="0" fontId="35" fillId="0" borderId="23" xfId="12" applyFont="1" applyBorder="1" applyAlignment="1">
      <alignment horizontal="center" vertical="center"/>
    </xf>
    <xf numFmtId="0" fontId="35" fillId="0" borderId="20" xfId="12" applyFont="1" applyBorder="1" applyAlignment="1">
      <alignment horizontal="center" vertical="center"/>
    </xf>
    <xf numFmtId="0" fontId="9" fillId="14" borderId="17" xfId="7" applyFont="1" applyFill="1" applyBorder="1" applyAlignment="1">
      <alignment horizontal="center" vertical="center" wrapText="1"/>
    </xf>
    <xf numFmtId="0" fontId="9" fillId="14" borderId="15" xfId="7" applyFont="1" applyFill="1" applyBorder="1" applyAlignment="1">
      <alignment horizontal="center" vertical="center" wrapText="1"/>
    </xf>
    <xf numFmtId="0" fontId="9" fillId="14" borderId="16" xfId="7" applyFont="1" applyFill="1" applyBorder="1" applyAlignment="1">
      <alignment horizontal="center" vertical="center" wrapText="1"/>
    </xf>
    <xf numFmtId="0" fontId="9" fillId="14" borderId="22" xfId="7" applyFont="1" applyFill="1" applyBorder="1" applyAlignment="1">
      <alignment horizontal="center" vertical="center" wrapText="1"/>
    </xf>
    <xf numFmtId="0" fontId="9" fillId="14" borderId="23" xfId="7" applyFont="1" applyFill="1" applyBorder="1" applyAlignment="1">
      <alignment horizontal="center" vertical="center" wrapText="1"/>
    </xf>
    <xf numFmtId="0" fontId="9" fillId="14" borderId="24" xfId="7" applyFont="1" applyFill="1" applyBorder="1" applyAlignment="1">
      <alignment horizontal="center" vertical="center" wrapText="1"/>
    </xf>
    <xf numFmtId="0" fontId="9" fillId="14" borderId="21" xfId="7" applyFont="1" applyFill="1" applyBorder="1" applyAlignment="1">
      <alignment horizontal="center" vertical="center" wrapText="1"/>
    </xf>
    <xf numFmtId="0" fontId="9" fillId="14" borderId="0" xfId="7" applyFont="1" applyFill="1" applyAlignment="1">
      <alignment horizontal="center" vertical="center" wrapText="1"/>
    </xf>
    <xf numFmtId="0" fontId="9" fillId="14" borderId="14" xfId="7" applyFont="1" applyFill="1" applyBorder="1" applyAlignment="1">
      <alignment horizontal="center" vertical="center" wrapText="1"/>
    </xf>
    <xf numFmtId="0" fontId="9" fillId="14" borderId="10" xfId="7" applyFont="1" applyFill="1" applyBorder="1" applyAlignment="1">
      <alignment horizontal="center" vertical="center" wrapText="1"/>
    </xf>
    <xf numFmtId="0" fontId="9" fillId="14" borderId="12" xfId="7" applyFont="1" applyFill="1" applyBorder="1" applyAlignment="1">
      <alignment horizontal="center" vertical="center" wrapText="1"/>
    </xf>
    <xf numFmtId="0" fontId="9" fillId="14" borderId="1" xfId="7" applyFont="1" applyFill="1" applyBorder="1" applyAlignment="1">
      <alignment horizontal="center" vertical="center" wrapText="1"/>
    </xf>
    <xf numFmtId="0" fontId="9" fillId="14" borderId="4" xfId="7" applyFont="1" applyFill="1" applyBorder="1" applyAlignment="1">
      <alignment horizontal="center" vertical="center" wrapText="1"/>
    </xf>
    <xf numFmtId="0" fontId="1" fillId="0" borderId="22" xfId="12" applyBorder="1" applyAlignment="1">
      <alignment horizontal="center"/>
    </xf>
    <xf numFmtId="0" fontId="1" fillId="0" borderId="23" xfId="12" applyBorder="1" applyAlignment="1">
      <alignment horizontal="center"/>
    </xf>
    <xf numFmtId="0" fontId="1" fillId="0" borderId="24" xfId="12" applyBorder="1" applyAlignment="1">
      <alignment horizontal="center"/>
    </xf>
    <xf numFmtId="0" fontId="9" fillId="14" borderId="31" xfId="7" applyFont="1" applyFill="1" applyBorder="1" applyAlignment="1">
      <alignment horizontal="center" vertical="center" wrapText="1"/>
    </xf>
    <xf numFmtId="0" fontId="9" fillId="14" borderId="18" xfId="7" applyFont="1" applyFill="1" applyBorder="1" applyAlignment="1">
      <alignment horizontal="center" vertical="center" wrapText="1"/>
    </xf>
    <xf numFmtId="0" fontId="9" fillId="14" borderId="19" xfId="7" applyFont="1" applyFill="1" applyBorder="1" applyAlignment="1">
      <alignment horizontal="center" vertical="center" wrapText="1"/>
    </xf>
    <xf numFmtId="0" fontId="9" fillId="14" borderId="35" xfId="7" applyFont="1" applyFill="1" applyBorder="1" applyAlignment="1">
      <alignment horizontal="center" vertical="center" wrapText="1"/>
    </xf>
    <xf numFmtId="0" fontId="9" fillId="14" borderId="27" xfId="7" applyFont="1" applyFill="1" applyBorder="1" applyAlignment="1">
      <alignment horizontal="center" vertical="center" wrapText="1"/>
    </xf>
    <xf numFmtId="0" fontId="9" fillId="14" borderId="28" xfId="7" applyFont="1" applyFill="1" applyBorder="1" applyAlignment="1">
      <alignment horizontal="center" vertical="center" wrapText="1"/>
    </xf>
    <xf numFmtId="0" fontId="35" fillId="0" borderId="39"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2"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1" fillId="20" borderId="15" xfId="12" applyFill="1" applyBorder="1" applyAlignment="1">
      <alignment horizontal="center" vertical="center" wrapText="1"/>
    </xf>
    <xf numFmtId="0" fontId="1" fillId="20" borderId="16" xfId="12" applyFill="1" applyBorder="1" applyAlignment="1">
      <alignment horizontal="center" vertical="center" wrapText="1"/>
    </xf>
    <xf numFmtId="0" fontId="1" fillId="20" borderId="22" xfId="12" applyFill="1" applyBorder="1" applyAlignment="1">
      <alignment horizontal="center" vertical="center" wrapText="1"/>
    </xf>
    <xf numFmtId="0" fontId="1" fillId="20" borderId="23" xfId="12" applyFill="1" applyBorder="1" applyAlignment="1">
      <alignment horizontal="center" vertical="center" wrapText="1"/>
    </xf>
    <xf numFmtId="0" fontId="1" fillId="20" borderId="24" xfId="12" applyFill="1" applyBorder="1" applyAlignment="1">
      <alignment horizontal="center" vertical="center" wrapText="1"/>
    </xf>
    <xf numFmtId="0" fontId="0" fillId="20" borderId="15" xfId="12" applyFont="1" applyFill="1" applyBorder="1" applyAlignment="1">
      <alignment horizontal="center" vertical="center" wrapText="1"/>
    </xf>
    <xf numFmtId="0" fontId="0" fillId="20" borderId="16" xfId="12" applyFont="1" applyFill="1" applyBorder="1" applyAlignment="1">
      <alignment horizontal="center" vertical="center" wrapText="1"/>
    </xf>
    <xf numFmtId="0" fontId="0" fillId="20" borderId="22" xfId="12" applyFont="1" applyFill="1" applyBorder="1" applyAlignment="1">
      <alignment horizontal="center" vertical="center" wrapText="1"/>
    </xf>
    <xf numFmtId="0" fontId="0" fillId="20" borderId="23" xfId="12" applyFont="1" applyFill="1" applyBorder="1" applyAlignment="1">
      <alignment horizontal="center" vertical="center" wrapText="1"/>
    </xf>
    <xf numFmtId="0" fontId="0" fillId="20" borderId="24" xfId="12" applyFont="1" applyFill="1" applyBorder="1" applyAlignment="1">
      <alignment horizontal="center" vertical="center" wrapText="1"/>
    </xf>
    <xf numFmtId="0" fontId="2" fillId="0" borderId="51" xfId="12" applyFont="1" applyBorder="1" applyAlignment="1">
      <alignment horizontal="center" vertical="center"/>
    </xf>
    <xf numFmtId="0" fontId="2" fillId="0" borderId="25" xfId="12" applyFont="1" applyBorder="1" applyAlignment="1">
      <alignment horizontal="center" vertical="center"/>
    </xf>
    <xf numFmtId="0" fontId="21" fillId="0" borderId="2" xfId="12" applyFont="1" applyBorder="1" applyAlignment="1">
      <alignment horizontal="center" vertical="center"/>
    </xf>
    <xf numFmtId="0" fontId="21" fillId="0" borderId="25" xfId="12" applyFont="1" applyBorder="1" applyAlignment="1">
      <alignment horizontal="center" vertical="center"/>
    </xf>
    <xf numFmtId="0" fontId="21" fillId="20" borderId="17" xfId="12" applyFont="1" applyFill="1" applyBorder="1" applyAlignment="1">
      <alignment horizontal="center" vertical="center" wrapText="1"/>
    </xf>
    <xf numFmtId="0" fontId="21" fillId="20" borderId="15" xfId="12" applyFont="1" applyFill="1" applyBorder="1" applyAlignment="1">
      <alignment horizontal="center" vertical="center" wrapText="1"/>
    </xf>
    <xf numFmtId="0" fontId="21" fillId="20" borderId="16" xfId="12" applyFont="1" applyFill="1" applyBorder="1" applyAlignment="1">
      <alignment horizontal="center" vertical="center" wrapText="1"/>
    </xf>
    <xf numFmtId="0" fontId="21" fillId="20" borderId="22" xfId="12" applyFont="1" applyFill="1" applyBorder="1" applyAlignment="1">
      <alignment horizontal="center" vertical="center" wrapText="1"/>
    </xf>
    <xf numFmtId="0" fontId="21" fillId="20" borderId="23" xfId="12" applyFont="1" applyFill="1" applyBorder="1" applyAlignment="1">
      <alignment horizontal="center" vertical="center" wrapText="1"/>
    </xf>
    <xf numFmtId="0" fontId="21" fillId="20" borderId="24" xfId="12" applyFont="1" applyFill="1" applyBorder="1" applyAlignment="1">
      <alignment horizontal="center" vertical="center" wrapText="1"/>
    </xf>
    <xf numFmtId="0" fontId="2" fillId="20" borderId="17" xfId="12" applyFont="1" applyFill="1" applyBorder="1" applyAlignment="1">
      <alignment horizontal="center" vertical="center" wrapText="1"/>
    </xf>
    <xf numFmtId="0" fontId="2" fillId="20" borderId="15" xfId="12" applyFont="1" applyFill="1" applyBorder="1" applyAlignment="1">
      <alignment horizontal="center" vertical="center" wrapText="1"/>
    </xf>
    <xf numFmtId="0" fontId="2" fillId="20" borderId="16" xfId="12" applyFont="1" applyFill="1" applyBorder="1" applyAlignment="1">
      <alignment horizontal="center" vertical="center" wrapText="1"/>
    </xf>
    <xf numFmtId="0" fontId="2" fillId="20" borderId="22" xfId="12" applyFont="1" applyFill="1" applyBorder="1" applyAlignment="1">
      <alignment horizontal="center" vertical="center" wrapText="1"/>
    </xf>
    <xf numFmtId="0" fontId="2" fillId="20" borderId="23" xfId="12" applyFont="1" applyFill="1" applyBorder="1" applyAlignment="1">
      <alignment horizontal="center" vertical="center" wrapText="1"/>
    </xf>
    <xf numFmtId="0" fontId="2" fillId="20" borderId="24" xfId="12" applyFont="1" applyFill="1" applyBorder="1" applyAlignment="1">
      <alignment horizontal="center" vertical="center" wrapText="1"/>
    </xf>
    <xf numFmtId="0" fontId="62" fillId="0" borderId="40" xfId="12" applyFont="1" applyBorder="1" applyAlignment="1">
      <alignment horizontal="center" vertical="center"/>
    </xf>
    <xf numFmtId="0" fontId="62" fillId="0" borderId="6" xfId="12" applyFont="1" applyBorder="1" applyAlignment="1">
      <alignment horizontal="center" vertical="center"/>
    </xf>
    <xf numFmtId="0" fontId="62" fillId="0" borderId="7" xfId="12" applyFont="1" applyBorder="1" applyAlignment="1">
      <alignment horizontal="center" vertical="center"/>
    </xf>
    <xf numFmtId="0" fontId="62" fillId="0" borderId="39" xfId="12" applyFont="1" applyBorder="1" applyAlignment="1">
      <alignment horizontal="center" vertical="center"/>
    </xf>
    <xf numFmtId="0" fontId="62" fillId="0" borderId="9" xfId="12" applyFont="1" applyBorder="1" applyAlignment="1">
      <alignment horizontal="center" vertical="center"/>
    </xf>
    <xf numFmtId="0" fontId="62" fillId="0" borderId="10" xfId="12" applyFont="1" applyBorder="1" applyAlignment="1">
      <alignment horizontal="center" vertical="center"/>
    </xf>
    <xf numFmtId="49" fontId="63" fillId="0" borderId="1" xfId="12" applyNumberFormat="1" applyFont="1" applyBorder="1" applyAlignment="1">
      <alignment horizontal="center" vertical="center" shrinkToFit="1"/>
    </xf>
    <xf numFmtId="49" fontId="63" fillId="0" borderId="26" xfId="12" applyNumberFormat="1" applyFont="1" applyBorder="1" applyAlignment="1">
      <alignment horizontal="center" vertical="center" shrinkToFit="1"/>
    </xf>
    <xf numFmtId="0" fontId="64" fillId="0" borderId="17" xfId="12" applyFont="1" applyBorder="1" applyAlignment="1">
      <alignment horizontal="center" vertical="center"/>
    </xf>
    <xf numFmtId="0" fontId="64" fillId="0" borderId="15" xfId="12" applyFont="1" applyBorder="1" applyAlignment="1">
      <alignment horizontal="center" vertical="center"/>
    </xf>
    <xf numFmtId="0" fontId="64" fillId="0" borderId="16" xfId="12" applyFont="1" applyBorder="1" applyAlignment="1">
      <alignment horizontal="center" vertical="center"/>
    </xf>
    <xf numFmtId="0" fontId="64" fillId="0" borderId="21" xfId="12" applyFont="1" applyBorder="1" applyAlignment="1">
      <alignment horizontal="center" vertical="center"/>
    </xf>
    <xf numFmtId="0" fontId="64" fillId="0" borderId="0" xfId="12" applyFont="1" applyAlignment="1">
      <alignment horizontal="center" vertical="center"/>
    </xf>
    <xf numFmtId="0" fontId="64" fillId="0" borderId="20" xfId="12" applyFont="1" applyBorder="1" applyAlignment="1">
      <alignment horizontal="center" vertical="center"/>
    </xf>
    <xf numFmtId="0" fontId="64" fillId="6" borderId="17" xfId="12" applyFont="1" applyFill="1" applyBorder="1" applyAlignment="1">
      <alignment horizontal="center" vertical="center"/>
    </xf>
    <xf numFmtId="0" fontId="64" fillId="6" borderId="15" xfId="12" applyFont="1" applyFill="1" applyBorder="1" applyAlignment="1">
      <alignment horizontal="center" vertical="center"/>
    </xf>
    <xf numFmtId="0" fontId="64" fillId="6" borderId="16" xfId="12" applyFont="1" applyFill="1" applyBorder="1" applyAlignment="1">
      <alignment horizontal="center" vertical="center"/>
    </xf>
    <xf numFmtId="0" fontId="64" fillId="6" borderId="21" xfId="12" applyFont="1" applyFill="1" applyBorder="1" applyAlignment="1">
      <alignment horizontal="center" vertical="center"/>
    </xf>
    <xf numFmtId="0" fontId="64" fillId="6" borderId="0" xfId="12" applyFont="1" applyFill="1" applyAlignment="1">
      <alignment horizontal="center" vertical="center"/>
    </xf>
    <xf numFmtId="0" fontId="64" fillId="6" borderId="20" xfId="12" applyFont="1" applyFill="1" applyBorder="1" applyAlignment="1">
      <alignment horizontal="center" vertical="center"/>
    </xf>
    <xf numFmtId="0" fontId="2" fillId="14" borderId="27" xfId="12" applyFont="1" applyFill="1" applyBorder="1" applyAlignment="1">
      <alignment horizontal="center" vertical="center" wrapText="1"/>
    </xf>
    <xf numFmtId="0" fontId="2" fillId="14" borderId="21" xfId="12" applyFont="1" applyFill="1" applyBorder="1" applyAlignment="1">
      <alignment horizontal="center" vertical="top" wrapText="1"/>
    </xf>
    <xf numFmtId="0" fontId="2" fillId="14" borderId="0" xfId="12" applyFont="1" applyFill="1" applyAlignment="1">
      <alignment horizontal="center" vertical="top" wrapText="1"/>
    </xf>
    <xf numFmtId="0" fontId="2" fillId="14" borderId="20" xfId="12" applyFont="1" applyFill="1" applyBorder="1" applyAlignment="1">
      <alignment horizontal="center" vertical="top" wrapText="1"/>
    </xf>
    <xf numFmtId="0" fontId="2" fillId="14" borderId="22" xfId="12" applyFont="1" applyFill="1" applyBorder="1" applyAlignment="1">
      <alignment horizontal="center" vertical="top" wrapText="1"/>
    </xf>
    <xf numFmtId="0" fontId="2" fillId="14" borderId="23" xfId="12" applyFont="1" applyFill="1" applyBorder="1" applyAlignment="1">
      <alignment horizontal="center" vertical="top" wrapText="1"/>
    </xf>
    <xf numFmtId="0" fontId="2" fillId="14" borderId="24" xfId="12" applyFont="1" applyFill="1" applyBorder="1" applyAlignment="1">
      <alignment horizontal="center" vertical="top" wrapText="1"/>
    </xf>
  </cellXfs>
  <cellStyles count="19">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2 4" xfId="18" xr:uid="{00000000-0005-0000-0000-00000C000000}"/>
    <cellStyle name="Normal 3" xfId="6" xr:uid="{00000000-0005-0000-0000-00000D000000}"/>
    <cellStyle name="Normal 3 2" xfId="17" xr:uid="{00000000-0005-0000-0000-00000E000000}"/>
    <cellStyle name="Normal 3 7" xfId="13" xr:uid="{00000000-0005-0000-0000-00000F000000}"/>
    <cellStyle name="Normal 3 9" xfId="7" xr:uid="{00000000-0005-0000-0000-000010000000}"/>
    <cellStyle name="Porcentaje" xfId="1" builtinId="5"/>
    <cellStyle name="Porcentaje 3" xfId="16" xr:uid="{00000000-0005-0000-0000-000012000000}"/>
  </cellStyles>
  <dxfs count="10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externalLink" Target="externalLinks/externalLink26.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(Formato!$F$245:$G$245,Formato!$H$245:$I$245)</c:f>
              <c:strCache>
                <c:ptCount val="3"/>
                <c:pt idx="0">
                  <c:v>Programado</c:v>
                </c:pt>
                <c:pt idx="2">
                  <c:v>Ejecutado</c:v>
                </c:pt>
              </c:strCache>
            </c:strRef>
          </c:cat>
          <c:val>
            <c:numRef>
              <c:f>(Formato!$F$246:$G$246,Formato!$H$246:$I$246)</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2082189968"/>
        <c:axId val="2082191056"/>
      </c:barChart>
      <c:catAx>
        <c:axId val="208218996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2082191056"/>
        <c:crosses val="autoZero"/>
        <c:auto val="0"/>
        <c:lblAlgn val="ctr"/>
        <c:lblOffset val="100"/>
        <c:tickMarkSkip val="1"/>
        <c:noMultiLvlLbl val="0"/>
      </c:catAx>
      <c:valAx>
        <c:axId val="208219105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208218996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(Formato!$E$154:$F$154,Formato!$G$154:$H$154)</c:f>
              <c:strCache>
                <c:ptCount val="3"/>
                <c:pt idx="0">
                  <c:v>Programado</c:v>
                </c:pt>
                <c:pt idx="2">
                  <c:v>Ejecutado</c:v>
                </c:pt>
              </c:strCache>
            </c:strRef>
          </c:cat>
          <c:val>
            <c:numRef>
              <c:f>(Formato!$E$155:$F$155,Formato!$G$155:$H$155)</c:f>
              <c:numCache>
                <c:formatCode>0.00%</c:formatCode>
                <c:ptCount val="4"/>
                <c:pt idx="0">
                  <c:v>0.7077</c:v>
                </c:pt>
                <c:pt idx="2">
                  <c:v>0.8105</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983368240"/>
        <c:axId val="1983357360"/>
      </c:barChart>
      <c:catAx>
        <c:axId val="19833682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83357360"/>
        <c:crosses val="autoZero"/>
        <c:auto val="0"/>
        <c:lblAlgn val="ctr"/>
        <c:lblOffset val="100"/>
        <c:tickMarkSkip val="1"/>
        <c:noMultiLvlLbl val="0"/>
      </c:catAx>
      <c:valAx>
        <c:axId val="198335736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833682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(Formato!$F$203:$G$203,Formato!$H$203:$I$203)</c:f>
              <c:strCache>
                <c:ptCount val="3"/>
                <c:pt idx="0">
                  <c:v>Programado</c:v>
                </c:pt>
                <c:pt idx="2">
                  <c:v>Ejecutado</c:v>
                </c:pt>
              </c:strCache>
            </c:strRef>
          </c:cat>
          <c:val>
            <c:numRef>
              <c:f>(Formato!$F$204:$G$204,Formato!$H$204:$I$204)</c:f>
              <c:numCache>
                <c:formatCode>0.00%</c:formatCode>
                <c:ptCount val="4"/>
                <c:pt idx="0">
                  <c:v>0.52010000000000001</c:v>
                </c:pt>
                <c:pt idx="2">
                  <c:v>0.6401</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983359536"/>
        <c:axId val="1983366064"/>
      </c:barChart>
      <c:catAx>
        <c:axId val="198335953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83366064"/>
        <c:crosses val="autoZero"/>
        <c:auto val="0"/>
        <c:lblAlgn val="ctr"/>
        <c:lblOffset val="100"/>
        <c:tickMarkSkip val="1"/>
        <c:noMultiLvlLbl val="0"/>
      </c:catAx>
      <c:valAx>
        <c:axId val="19833660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833595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(Formato!$E$260:$F$260,Formato!$G$260:$H$260)</c:f>
              <c:strCache>
                <c:ptCount val="3"/>
                <c:pt idx="0">
                  <c:v>Programado</c:v>
                </c:pt>
                <c:pt idx="2">
                  <c:v>Ejecutado</c:v>
                </c:pt>
              </c:strCache>
            </c:strRef>
          </c:cat>
          <c:val>
            <c:numRef>
              <c:f>(Formato!$E$261:$F$261,Formato!$G$261:$H$261)</c:f>
              <c:numCache>
                <c:formatCode>0.00%</c:formatCode>
                <c:ptCount val="4"/>
                <c:pt idx="0">
                  <c:v>0.78</c:v>
                </c:pt>
                <c:pt idx="2">
                  <c:v>0.84289999999999998</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983367696"/>
        <c:axId val="1983360080"/>
      </c:barChart>
      <c:catAx>
        <c:axId val="19833676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83360080"/>
        <c:crosses val="autoZero"/>
        <c:auto val="0"/>
        <c:lblAlgn val="ctr"/>
        <c:lblOffset val="100"/>
        <c:tickMarkSkip val="1"/>
        <c:noMultiLvlLbl val="0"/>
      </c:catAx>
      <c:valAx>
        <c:axId val="19833600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833676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(Formato!$F$279:$G$279,Formato!$H$279:$I$279)</c:f>
              <c:strCache>
                <c:ptCount val="3"/>
                <c:pt idx="0">
                  <c:v>Programado</c:v>
                </c:pt>
                <c:pt idx="2">
                  <c:v>Ejecutado</c:v>
                </c:pt>
              </c:strCache>
            </c:strRef>
          </c:cat>
          <c:val>
            <c:numRef>
              <c:f>(Formato!$F$280:$G$280,Formato!$H$294:$I$294)</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983086080"/>
        <c:axId val="1983084448"/>
      </c:barChart>
      <c:catAx>
        <c:axId val="19830860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83084448"/>
        <c:crosses val="autoZero"/>
        <c:auto val="0"/>
        <c:lblAlgn val="ctr"/>
        <c:lblOffset val="100"/>
        <c:tickMarkSkip val="1"/>
        <c:noMultiLvlLbl val="0"/>
      </c:catAx>
      <c:valAx>
        <c:axId val="19830844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9830860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Formato!$B$142:$D$147</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Formato!$H$142:$H$147</c:f>
              <c:numCache>
                <c:formatCode>0.00%</c:formatCode>
                <c:ptCount val="6"/>
                <c:pt idx="0">
                  <c:v>0.8105</c:v>
                </c:pt>
                <c:pt idx="1">
                  <c:v>0.6401</c:v>
                </c:pt>
                <c:pt idx="2" formatCode="0%">
                  <c:v>1</c:v>
                </c:pt>
                <c:pt idx="3">
                  <c:v>0.84289999999999998</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983085536"/>
        <c:axId val="341624144"/>
      </c:barChart>
      <c:catAx>
        <c:axId val="198308553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341624144"/>
        <c:crosses val="autoZero"/>
        <c:auto val="1"/>
        <c:lblAlgn val="ctr"/>
        <c:lblOffset val="100"/>
        <c:noMultiLvlLbl val="0"/>
      </c:catAx>
      <c:valAx>
        <c:axId val="341624144"/>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98308553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2.jpg"/><Relationship Id="rId3" Type="http://schemas.openxmlformats.org/officeDocument/2006/relationships/image" Target="../media/image7.jpg"/><Relationship Id="rId7" Type="http://schemas.openxmlformats.org/officeDocument/2006/relationships/image" Target="../media/image11.jp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15.jpeg"/><Relationship Id="rId2" Type="http://schemas.openxmlformats.org/officeDocument/2006/relationships/image" Target="../media/image14.png"/><Relationship Id="rId1" Type="http://schemas.openxmlformats.org/officeDocument/2006/relationships/image" Target="../media/image13.jpeg"/><Relationship Id="rId6" Type="http://schemas.openxmlformats.org/officeDocument/2006/relationships/image" Target="../media/image18.jpeg"/><Relationship Id="rId5" Type="http://schemas.openxmlformats.org/officeDocument/2006/relationships/image" Target="../media/image17.jpeg"/><Relationship Id="rId4" Type="http://schemas.openxmlformats.org/officeDocument/2006/relationships/image" Target="../media/image16.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4.jpeg"/><Relationship Id="rId13" Type="http://schemas.openxmlformats.org/officeDocument/2006/relationships/image" Target="../media/image29.jpeg"/><Relationship Id="rId3" Type="http://schemas.openxmlformats.org/officeDocument/2006/relationships/image" Target="../media/image19.jpeg"/><Relationship Id="rId7" Type="http://schemas.openxmlformats.org/officeDocument/2006/relationships/image" Target="../media/image23.jpeg"/><Relationship Id="rId12" Type="http://schemas.openxmlformats.org/officeDocument/2006/relationships/image" Target="../media/image28.jpeg"/><Relationship Id="rId2" Type="http://schemas.openxmlformats.org/officeDocument/2006/relationships/image" Target="../media/image4.png"/><Relationship Id="rId1" Type="http://schemas.openxmlformats.org/officeDocument/2006/relationships/image" Target="../media/image6.jpeg"/><Relationship Id="rId6" Type="http://schemas.openxmlformats.org/officeDocument/2006/relationships/image" Target="../media/image22.jpeg"/><Relationship Id="rId11" Type="http://schemas.openxmlformats.org/officeDocument/2006/relationships/image" Target="../media/image27.jpeg"/><Relationship Id="rId5" Type="http://schemas.openxmlformats.org/officeDocument/2006/relationships/image" Target="../media/image21.jpeg"/><Relationship Id="rId10" Type="http://schemas.openxmlformats.org/officeDocument/2006/relationships/image" Target="../media/image26.jpeg"/><Relationship Id="rId4" Type="http://schemas.openxmlformats.org/officeDocument/2006/relationships/image" Target="../media/image20.jpeg"/><Relationship Id="rId9" Type="http://schemas.openxmlformats.org/officeDocument/2006/relationships/image" Target="../media/image25.JPG"/><Relationship Id="rId14" Type="http://schemas.openxmlformats.org/officeDocument/2006/relationships/image" Target="../media/image30.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6.jpeg"/><Relationship Id="rId13" Type="http://schemas.openxmlformats.org/officeDocument/2006/relationships/image" Target="../media/image41.jpeg"/><Relationship Id="rId18" Type="http://schemas.openxmlformats.org/officeDocument/2006/relationships/image" Target="../media/image46.jpeg"/><Relationship Id="rId3" Type="http://schemas.openxmlformats.org/officeDocument/2006/relationships/image" Target="../media/image31.jpeg"/><Relationship Id="rId21" Type="http://schemas.openxmlformats.org/officeDocument/2006/relationships/image" Target="../media/image49.jpeg"/><Relationship Id="rId7" Type="http://schemas.openxmlformats.org/officeDocument/2006/relationships/image" Target="../media/image35.jpeg"/><Relationship Id="rId12" Type="http://schemas.openxmlformats.org/officeDocument/2006/relationships/image" Target="../media/image40.jpeg"/><Relationship Id="rId17" Type="http://schemas.openxmlformats.org/officeDocument/2006/relationships/image" Target="../media/image45.jpeg"/><Relationship Id="rId2" Type="http://schemas.openxmlformats.org/officeDocument/2006/relationships/image" Target="../media/image4.png"/><Relationship Id="rId16" Type="http://schemas.openxmlformats.org/officeDocument/2006/relationships/image" Target="../media/image44.jpeg"/><Relationship Id="rId20" Type="http://schemas.openxmlformats.org/officeDocument/2006/relationships/image" Target="../media/image48.jpeg"/><Relationship Id="rId1" Type="http://schemas.openxmlformats.org/officeDocument/2006/relationships/image" Target="../media/image6.jpeg"/><Relationship Id="rId6" Type="http://schemas.openxmlformats.org/officeDocument/2006/relationships/image" Target="../media/image34.jpeg"/><Relationship Id="rId11" Type="http://schemas.openxmlformats.org/officeDocument/2006/relationships/image" Target="../media/image39.jpeg"/><Relationship Id="rId24" Type="http://schemas.openxmlformats.org/officeDocument/2006/relationships/image" Target="../media/image52.jpeg"/><Relationship Id="rId5" Type="http://schemas.openxmlformats.org/officeDocument/2006/relationships/image" Target="../media/image33.jpeg"/><Relationship Id="rId15" Type="http://schemas.openxmlformats.org/officeDocument/2006/relationships/image" Target="../media/image43.jpeg"/><Relationship Id="rId23" Type="http://schemas.openxmlformats.org/officeDocument/2006/relationships/image" Target="../media/image51.jpeg"/><Relationship Id="rId10" Type="http://schemas.openxmlformats.org/officeDocument/2006/relationships/image" Target="../media/image38.jpeg"/><Relationship Id="rId19" Type="http://schemas.openxmlformats.org/officeDocument/2006/relationships/image" Target="../media/image47.jpeg"/><Relationship Id="rId4" Type="http://schemas.openxmlformats.org/officeDocument/2006/relationships/image" Target="../media/image32.jpeg"/><Relationship Id="rId9" Type="http://schemas.openxmlformats.org/officeDocument/2006/relationships/image" Target="../media/image37.jpeg"/><Relationship Id="rId14" Type="http://schemas.openxmlformats.org/officeDocument/2006/relationships/image" Target="../media/image42.jpeg"/><Relationship Id="rId22" Type="http://schemas.openxmlformats.org/officeDocument/2006/relationships/image" Target="../media/image50.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3.jpeg"/><Relationship Id="rId18" Type="http://schemas.openxmlformats.org/officeDocument/2006/relationships/image" Target="../media/image68.jpeg"/><Relationship Id="rId26" Type="http://schemas.openxmlformats.org/officeDocument/2006/relationships/image" Target="../media/image76.jpeg"/><Relationship Id="rId39" Type="http://schemas.openxmlformats.org/officeDocument/2006/relationships/image" Target="../media/image89.jpeg"/><Relationship Id="rId3" Type="http://schemas.openxmlformats.org/officeDocument/2006/relationships/image" Target="../media/image53.jpeg"/><Relationship Id="rId21" Type="http://schemas.openxmlformats.org/officeDocument/2006/relationships/image" Target="../media/image71.jpeg"/><Relationship Id="rId34" Type="http://schemas.openxmlformats.org/officeDocument/2006/relationships/image" Target="../media/image84.jpeg"/><Relationship Id="rId42" Type="http://schemas.openxmlformats.org/officeDocument/2006/relationships/image" Target="../media/image92.jpeg"/><Relationship Id="rId47" Type="http://schemas.openxmlformats.org/officeDocument/2006/relationships/image" Target="../media/image97.jpeg"/><Relationship Id="rId50" Type="http://schemas.openxmlformats.org/officeDocument/2006/relationships/image" Target="../media/image100.jpeg"/><Relationship Id="rId7" Type="http://schemas.openxmlformats.org/officeDocument/2006/relationships/image" Target="../media/image57.jpeg"/><Relationship Id="rId12" Type="http://schemas.openxmlformats.org/officeDocument/2006/relationships/image" Target="../media/image62.jpeg"/><Relationship Id="rId17" Type="http://schemas.openxmlformats.org/officeDocument/2006/relationships/image" Target="../media/image67.jpeg"/><Relationship Id="rId25" Type="http://schemas.openxmlformats.org/officeDocument/2006/relationships/image" Target="../media/image75.jpeg"/><Relationship Id="rId33" Type="http://schemas.openxmlformats.org/officeDocument/2006/relationships/image" Target="../media/image83.jpeg"/><Relationship Id="rId38" Type="http://schemas.openxmlformats.org/officeDocument/2006/relationships/image" Target="../media/image88.jpeg"/><Relationship Id="rId46" Type="http://schemas.openxmlformats.org/officeDocument/2006/relationships/image" Target="../media/image96.jpeg"/><Relationship Id="rId2" Type="http://schemas.openxmlformats.org/officeDocument/2006/relationships/image" Target="../media/image4.png"/><Relationship Id="rId16" Type="http://schemas.openxmlformats.org/officeDocument/2006/relationships/image" Target="../media/image66.jpeg"/><Relationship Id="rId20" Type="http://schemas.openxmlformats.org/officeDocument/2006/relationships/image" Target="../media/image70.jpeg"/><Relationship Id="rId29" Type="http://schemas.openxmlformats.org/officeDocument/2006/relationships/image" Target="../media/image79.jpeg"/><Relationship Id="rId41" Type="http://schemas.openxmlformats.org/officeDocument/2006/relationships/image" Target="../media/image91.jpeg"/><Relationship Id="rId54" Type="http://schemas.openxmlformats.org/officeDocument/2006/relationships/image" Target="../media/image104.jpeg"/><Relationship Id="rId1" Type="http://schemas.openxmlformats.org/officeDocument/2006/relationships/image" Target="../media/image6.jpeg"/><Relationship Id="rId6" Type="http://schemas.openxmlformats.org/officeDocument/2006/relationships/image" Target="../media/image56.jpeg"/><Relationship Id="rId11" Type="http://schemas.openxmlformats.org/officeDocument/2006/relationships/image" Target="../media/image61.jpeg"/><Relationship Id="rId24" Type="http://schemas.openxmlformats.org/officeDocument/2006/relationships/image" Target="../media/image74.jpeg"/><Relationship Id="rId32" Type="http://schemas.openxmlformats.org/officeDocument/2006/relationships/image" Target="../media/image82.jpeg"/><Relationship Id="rId37" Type="http://schemas.openxmlformats.org/officeDocument/2006/relationships/image" Target="../media/image87.jpeg"/><Relationship Id="rId40" Type="http://schemas.openxmlformats.org/officeDocument/2006/relationships/image" Target="../media/image90.jpeg"/><Relationship Id="rId45" Type="http://schemas.openxmlformats.org/officeDocument/2006/relationships/image" Target="../media/image95.jpeg"/><Relationship Id="rId53" Type="http://schemas.openxmlformats.org/officeDocument/2006/relationships/image" Target="../media/image103.jpeg"/><Relationship Id="rId5" Type="http://schemas.openxmlformats.org/officeDocument/2006/relationships/image" Target="../media/image55.jpeg"/><Relationship Id="rId15" Type="http://schemas.openxmlformats.org/officeDocument/2006/relationships/image" Target="../media/image65.jpeg"/><Relationship Id="rId23" Type="http://schemas.openxmlformats.org/officeDocument/2006/relationships/image" Target="../media/image73.jpeg"/><Relationship Id="rId28" Type="http://schemas.openxmlformats.org/officeDocument/2006/relationships/image" Target="../media/image78.jpeg"/><Relationship Id="rId36" Type="http://schemas.openxmlformats.org/officeDocument/2006/relationships/image" Target="../media/image86.jpeg"/><Relationship Id="rId49" Type="http://schemas.openxmlformats.org/officeDocument/2006/relationships/image" Target="../media/image99.jpeg"/><Relationship Id="rId10" Type="http://schemas.openxmlformats.org/officeDocument/2006/relationships/image" Target="../media/image60.jpeg"/><Relationship Id="rId19" Type="http://schemas.openxmlformats.org/officeDocument/2006/relationships/image" Target="../media/image69.jpeg"/><Relationship Id="rId31" Type="http://schemas.openxmlformats.org/officeDocument/2006/relationships/image" Target="../media/image81.jpeg"/><Relationship Id="rId44" Type="http://schemas.openxmlformats.org/officeDocument/2006/relationships/image" Target="../media/image94.jpeg"/><Relationship Id="rId52" Type="http://schemas.openxmlformats.org/officeDocument/2006/relationships/image" Target="../media/image102.jpeg"/><Relationship Id="rId4" Type="http://schemas.openxmlformats.org/officeDocument/2006/relationships/image" Target="../media/image54.jpeg"/><Relationship Id="rId9" Type="http://schemas.openxmlformats.org/officeDocument/2006/relationships/image" Target="../media/image59.jpeg"/><Relationship Id="rId14" Type="http://schemas.openxmlformats.org/officeDocument/2006/relationships/image" Target="../media/image64.jpeg"/><Relationship Id="rId22" Type="http://schemas.openxmlformats.org/officeDocument/2006/relationships/image" Target="../media/image72.jpeg"/><Relationship Id="rId27" Type="http://schemas.openxmlformats.org/officeDocument/2006/relationships/image" Target="../media/image77.jpeg"/><Relationship Id="rId30" Type="http://schemas.openxmlformats.org/officeDocument/2006/relationships/image" Target="../media/image80.jpeg"/><Relationship Id="rId35" Type="http://schemas.openxmlformats.org/officeDocument/2006/relationships/image" Target="../media/image85.jpeg"/><Relationship Id="rId43" Type="http://schemas.openxmlformats.org/officeDocument/2006/relationships/image" Target="../media/image93.jpeg"/><Relationship Id="rId48" Type="http://schemas.openxmlformats.org/officeDocument/2006/relationships/image" Target="../media/image98.jpeg"/><Relationship Id="rId8" Type="http://schemas.openxmlformats.org/officeDocument/2006/relationships/image" Target="../media/image58.jpeg"/><Relationship Id="rId51" Type="http://schemas.openxmlformats.org/officeDocument/2006/relationships/image" Target="../media/image10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11.jpeg"/><Relationship Id="rId13" Type="http://schemas.openxmlformats.org/officeDocument/2006/relationships/image" Target="../media/image116.jpeg"/><Relationship Id="rId3" Type="http://schemas.openxmlformats.org/officeDocument/2006/relationships/image" Target="../media/image106.jpeg"/><Relationship Id="rId7" Type="http://schemas.openxmlformats.org/officeDocument/2006/relationships/image" Target="../media/image110.jpeg"/><Relationship Id="rId12" Type="http://schemas.openxmlformats.org/officeDocument/2006/relationships/image" Target="../media/image115.jpeg"/><Relationship Id="rId2" Type="http://schemas.openxmlformats.org/officeDocument/2006/relationships/image" Target="../media/image105.png"/><Relationship Id="rId1" Type="http://schemas.openxmlformats.org/officeDocument/2006/relationships/image" Target="../media/image6.jpeg"/><Relationship Id="rId6" Type="http://schemas.openxmlformats.org/officeDocument/2006/relationships/image" Target="../media/image109.jpeg"/><Relationship Id="rId11" Type="http://schemas.openxmlformats.org/officeDocument/2006/relationships/image" Target="../media/image114.jpeg"/><Relationship Id="rId5" Type="http://schemas.openxmlformats.org/officeDocument/2006/relationships/image" Target="../media/image108.jpeg"/><Relationship Id="rId10" Type="http://schemas.openxmlformats.org/officeDocument/2006/relationships/image" Target="../media/image113.jpeg"/><Relationship Id="rId4" Type="http://schemas.openxmlformats.org/officeDocument/2006/relationships/image" Target="../media/image107.jpeg"/><Relationship Id="rId9" Type="http://schemas.openxmlformats.org/officeDocument/2006/relationships/image" Target="../media/image112.jpeg"/><Relationship Id="rId14" Type="http://schemas.openxmlformats.org/officeDocument/2006/relationships/image" Target="../media/image117.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23.jpeg"/><Relationship Id="rId13" Type="http://schemas.openxmlformats.org/officeDocument/2006/relationships/image" Target="../media/image128.jpeg"/><Relationship Id="rId18" Type="http://schemas.openxmlformats.org/officeDocument/2006/relationships/image" Target="../media/image133.jpeg"/><Relationship Id="rId26" Type="http://schemas.openxmlformats.org/officeDocument/2006/relationships/image" Target="../media/image141.jpeg"/><Relationship Id="rId39" Type="http://schemas.openxmlformats.org/officeDocument/2006/relationships/image" Target="../media/image154.jpeg"/><Relationship Id="rId3" Type="http://schemas.openxmlformats.org/officeDocument/2006/relationships/image" Target="../media/image118.jpeg"/><Relationship Id="rId21" Type="http://schemas.openxmlformats.org/officeDocument/2006/relationships/image" Target="../media/image136.jpeg"/><Relationship Id="rId34" Type="http://schemas.openxmlformats.org/officeDocument/2006/relationships/image" Target="../media/image149.jpeg"/><Relationship Id="rId42" Type="http://schemas.openxmlformats.org/officeDocument/2006/relationships/image" Target="../media/image157.jpeg"/><Relationship Id="rId47" Type="http://schemas.openxmlformats.org/officeDocument/2006/relationships/image" Target="../media/image162.jpeg"/><Relationship Id="rId7" Type="http://schemas.openxmlformats.org/officeDocument/2006/relationships/image" Target="../media/image122.jpeg"/><Relationship Id="rId12" Type="http://schemas.openxmlformats.org/officeDocument/2006/relationships/image" Target="../media/image127.jpeg"/><Relationship Id="rId17" Type="http://schemas.openxmlformats.org/officeDocument/2006/relationships/image" Target="../media/image132.jpeg"/><Relationship Id="rId25" Type="http://schemas.openxmlformats.org/officeDocument/2006/relationships/image" Target="../media/image140.jpeg"/><Relationship Id="rId33" Type="http://schemas.openxmlformats.org/officeDocument/2006/relationships/image" Target="../media/image148.jpeg"/><Relationship Id="rId38" Type="http://schemas.openxmlformats.org/officeDocument/2006/relationships/image" Target="../media/image153.jpeg"/><Relationship Id="rId46" Type="http://schemas.openxmlformats.org/officeDocument/2006/relationships/image" Target="../media/image161.jpeg"/><Relationship Id="rId2" Type="http://schemas.openxmlformats.org/officeDocument/2006/relationships/image" Target="../media/image105.png"/><Relationship Id="rId16" Type="http://schemas.openxmlformats.org/officeDocument/2006/relationships/image" Target="../media/image131.jpeg"/><Relationship Id="rId20" Type="http://schemas.openxmlformats.org/officeDocument/2006/relationships/image" Target="../media/image135.jpeg"/><Relationship Id="rId29" Type="http://schemas.openxmlformats.org/officeDocument/2006/relationships/image" Target="../media/image144.jpeg"/><Relationship Id="rId41" Type="http://schemas.openxmlformats.org/officeDocument/2006/relationships/image" Target="../media/image156.jpeg"/><Relationship Id="rId1" Type="http://schemas.openxmlformats.org/officeDocument/2006/relationships/image" Target="../media/image13.jpeg"/><Relationship Id="rId6" Type="http://schemas.openxmlformats.org/officeDocument/2006/relationships/image" Target="../media/image121.jpeg"/><Relationship Id="rId11" Type="http://schemas.openxmlformats.org/officeDocument/2006/relationships/image" Target="../media/image126.jpeg"/><Relationship Id="rId24" Type="http://schemas.openxmlformats.org/officeDocument/2006/relationships/image" Target="../media/image139.jpeg"/><Relationship Id="rId32" Type="http://schemas.openxmlformats.org/officeDocument/2006/relationships/image" Target="../media/image147.jpeg"/><Relationship Id="rId37" Type="http://schemas.openxmlformats.org/officeDocument/2006/relationships/image" Target="../media/image152.jpeg"/><Relationship Id="rId40" Type="http://schemas.openxmlformats.org/officeDocument/2006/relationships/image" Target="../media/image155.jpeg"/><Relationship Id="rId45" Type="http://schemas.openxmlformats.org/officeDocument/2006/relationships/image" Target="../media/image160.jpeg"/><Relationship Id="rId5" Type="http://schemas.openxmlformats.org/officeDocument/2006/relationships/image" Target="../media/image120.jpeg"/><Relationship Id="rId15" Type="http://schemas.openxmlformats.org/officeDocument/2006/relationships/image" Target="../media/image130.jpeg"/><Relationship Id="rId23" Type="http://schemas.openxmlformats.org/officeDocument/2006/relationships/image" Target="../media/image138.jpeg"/><Relationship Id="rId28" Type="http://schemas.openxmlformats.org/officeDocument/2006/relationships/image" Target="../media/image143.jpeg"/><Relationship Id="rId36" Type="http://schemas.openxmlformats.org/officeDocument/2006/relationships/image" Target="../media/image151.jpeg"/><Relationship Id="rId10" Type="http://schemas.openxmlformats.org/officeDocument/2006/relationships/image" Target="../media/image125.jpeg"/><Relationship Id="rId19" Type="http://schemas.openxmlformats.org/officeDocument/2006/relationships/image" Target="../media/image134.jpeg"/><Relationship Id="rId31" Type="http://schemas.openxmlformats.org/officeDocument/2006/relationships/image" Target="../media/image146.jpeg"/><Relationship Id="rId44" Type="http://schemas.openxmlformats.org/officeDocument/2006/relationships/image" Target="../media/image159.jpeg"/><Relationship Id="rId4" Type="http://schemas.openxmlformats.org/officeDocument/2006/relationships/image" Target="../media/image119.jpeg"/><Relationship Id="rId9" Type="http://schemas.openxmlformats.org/officeDocument/2006/relationships/image" Target="../media/image124.jpeg"/><Relationship Id="rId14" Type="http://schemas.openxmlformats.org/officeDocument/2006/relationships/image" Target="../media/image129.jpeg"/><Relationship Id="rId22" Type="http://schemas.openxmlformats.org/officeDocument/2006/relationships/image" Target="../media/image137.jpeg"/><Relationship Id="rId27" Type="http://schemas.openxmlformats.org/officeDocument/2006/relationships/image" Target="../media/image142.png"/><Relationship Id="rId30" Type="http://schemas.openxmlformats.org/officeDocument/2006/relationships/image" Target="../media/image145.jpeg"/><Relationship Id="rId35" Type="http://schemas.openxmlformats.org/officeDocument/2006/relationships/image" Target="../media/image150.jpeg"/><Relationship Id="rId43" Type="http://schemas.openxmlformats.org/officeDocument/2006/relationships/image" Target="../media/image158.jpeg"/></Relationships>
</file>

<file path=xl/drawings/drawing1.xml><?xml version="1.0" encoding="utf-8"?>
<xdr:wsDr xmlns:xdr="http://schemas.openxmlformats.org/drawingml/2006/spreadsheetDrawing" xmlns:a="http://schemas.openxmlformats.org/drawingml/2006/main">
  <xdr:twoCellAnchor>
    <xdr:from>
      <xdr:col>12</xdr:col>
      <xdr:colOff>11905</xdr:colOff>
      <xdr:row>243</xdr:row>
      <xdr:rowOff>0</xdr:rowOff>
    </xdr:from>
    <xdr:to>
      <xdr:col>19</xdr:col>
      <xdr:colOff>1142999</xdr:colOff>
      <xdr:row>251</xdr:row>
      <xdr:rowOff>428625</xdr:rowOff>
    </xdr:to>
    <xdr:graphicFrame macro="">
      <xdr:nvGraphicFramePr>
        <xdr:cNvPr id="3" name="Gráfico 2">
          <a:extLst>
            <a:ext uri="{FF2B5EF4-FFF2-40B4-BE49-F238E27FC236}">
              <a16:creationId xmlns:a16="http://schemas.microsoft.com/office/drawing/2014/main" id="{00000000-0008-0000-0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152</xdr:row>
      <xdr:rowOff>44223</xdr:rowOff>
    </xdr:from>
    <xdr:to>
      <xdr:col>19</xdr:col>
      <xdr:colOff>1143000</xdr:colOff>
      <xdr:row>159</xdr:row>
      <xdr:rowOff>231320</xdr:rowOff>
    </xdr:to>
    <xdr:graphicFrame macro="">
      <xdr:nvGraphicFramePr>
        <xdr:cNvPr id="4" name="Gráfico 5">
          <a:extLst>
            <a:ext uri="{FF2B5EF4-FFF2-40B4-BE49-F238E27FC236}">
              <a16:creationId xmlns:a16="http://schemas.microsoft.com/office/drawing/2014/main" id="{00000000-0008-0000-0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202</xdr:row>
      <xdr:rowOff>83127</xdr:rowOff>
    </xdr:from>
    <xdr:to>
      <xdr:col>19</xdr:col>
      <xdr:colOff>1166812</xdr:colOff>
      <xdr:row>208</xdr:row>
      <xdr:rowOff>193965</xdr:rowOff>
    </xdr:to>
    <xdr:graphicFrame macro="">
      <xdr:nvGraphicFramePr>
        <xdr:cNvPr id="5" name="Gráfico 6">
          <a:extLst>
            <a:ext uri="{FF2B5EF4-FFF2-40B4-BE49-F238E27FC236}">
              <a16:creationId xmlns:a16="http://schemas.microsoft.com/office/drawing/2014/main" id="{00000000-0008-0000-00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258</xdr:row>
      <xdr:rowOff>23813</xdr:rowOff>
    </xdr:from>
    <xdr:to>
      <xdr:col>19</xdr:col>
      <xdr:colOff>1095376</xdr:colOff>
      <xdr:row>265</xdr:row>
      <xdr:rowOff>285750</xdr:rowOff>
    </xdr:to>
    <xdr:graphicFrame macro="">
      <xdr:nvGraphicFramePr>
        <xdr:cNvPr id="6" name="Gráfico 7">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278</xdr:row>
      <xdr:rowOff>0</xdr:rowOff>
    </xdr:from>
    <xdr:to>
      <xdr:col>19</xdr:col>
      <xdr:colOff>1131094</xdr:colOff>
      <xdr:row>285</xdr:row>
      <xdr:rowOff>11906</xdr:rowOff>
    </xdr:to>
    <xdr:graphicFrame macro="">
      <xdr:nvGraphicFramePr>
        <xdr:cNvPr id="7" name="Gráfico 8">
          <a:extLst>
            <a:ext uri="{FF2B5EF4-FFF2-40B4-BE49-F238E27FC236}">
              <a16:creationId xmlns:a16="http://schemas.microsoft.com/office/drawing/2014/main" id="{00000000-0008-0000-00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489516" y="292667"/>
          <a:ext cx="2026896" cy="1020129"/>
        </a:xfrm>
        <a:prstGeom prst="rect">
          <a:avLst/>
        </a:prstGeom>
      </xdr:spPr>
    </xdr:pic>
    <xdr:clientData/>
  </xdr:twoCellAnchor>
  <xdr:twoCellAnchor>
    <xdr:from>
      <xdr:col>11</xdr:col>
      <xdr:colOff>142875</xdr:colOff>
      <xdr:row>137</xdr:row>
      <xdr:rowOff>269875</xdr:rowOff>
    </xdr:from>
    <xdr:to>
      <xdr:col>19</xdr:col>
      <xdr:colOff>1188736</xdr:colOff>
      <xdr:row>149</xdr:row>
      <xdr:rowOff>147411</xdr:rowOff>
    </xdr:to>
    <xdr:graphicFrame macro="">
      <xdr:nvGraphicFramePr>
        <xdr:cNvPr id="9" name="Gráfico 8">
          <a:extLst>
            <a:ext uri="{FF2B5EF4-FFF2-40B4-BE49-F238E27FC236}">
              <a16:creationId xmlns:a16="http://schemas.microsoft.com/office/drawing/2014/main" id="{00000000-0008-0000-00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579120</xdr:colOff>
      <xdr:row>385</xdr:row>
      <xdr:rowOff>228600</xdr:rowOff>
    </xdr:from>
    <xdr:to>
      <xdr:col>17</xdr:col>
      <xdr:colOff>7620</xdr:colOff>
      <xdr:row>385</xdr:row>
      <xdr:rowOff>3589020</xdr:rowOff>
    </xdr:to>
    <xdr:pic>
      <xdr:nvPicPr>
        <xdr:cNvPr id="11" name="Imagen 10">
          <a:extLst>
            <a:ext uri="{FF2B5EF4-FFF2-40B4-BE49-F238E27FC236}">
              <a16:creationId xmlns:a16="http://schemas.microsoft.com/office/drawing/2014/main" id="{8D0EC7D1-32E9-4C3D-A810-A3398EE28CFF}"/>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775960" y="510159000"/>
          <a:ext cx="9456420" cy="3360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5AAB91ED-B808-49F2-B954-9A54A3E56F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59905" y="230505"/>
          <a:ext cx="865167" cy="495300"/>
        </a:xfrm>
        <a:prstGeom prst="rect">
          <a:avLst/>
        </a:prstGeom>
      </xdr:spPr>
    </xdr:pic>
    <xdr:clientData/>
  </xdr:oneCellAnchor>
  <xdr:oneCellAnchor>
    <xdr:from>
      <xdr:col>1</xdr:col>
      <xdr:colOff>104775</xdr:colOff>
      <xdr:row>1</xdr:row>
      <xdr:rowOff>47625</xdr:rowOff>
    </xdr:from>
    <xdr:ext cx="619125" cy="533400"/>
    <xdr:pic>
      <xdr:nvPicPr>
        <xdr:cNvPr id="3" name="4 Imagen">
          <a:extLst>
            <a:ext uri="{FF2B5EF4-FFF2-40B4-BE49-F238E27FC236}">
              <a16:creationId xmlns:a16="http://schemas.microsoft.com/office/drawing/2014/main" id="{50A86465-52F5-466F-BCD3-F7349E8C1853}"/>
            </a:ext>
          </a:extLst>
        </xdr:cNvPr>
        <xdr:cNvPicPr>
          <a:picLocks noChangeAspect="1"/>
        </xdr:cNvPicPr>
      </xdr:nvPicPr>
      <xdr:blipFill>
        <a:blip xmlns:r="http://schemas.openxmlformats.org/officeDocument/2006/relationships" r:embed="rId2"/>
        <a:stretch>
          <a:fillRect/>
        </a:stretch>
      </xdr:blipFill>
      <xdr:spPr>
        <a:xfrm>
          <a:off x="417195" y="230505"/>
          <a:ext cx="619125" cy="533400"/>
        </a:xfrm>
        <a:prstGeom prst="rect">
          <a:avLst/>
        </a:prstGeom>
      </xdr:spPr>
    </xdr:pic>
    <xdr:clientData/>
  </xdr:oneCellAnchor>
  <xdr:oneCellAnchor>
    <xdr:from>
      <xdr:col>18</xdr:col>
      <xdr:colOff>342900</xdr:colOff>
      <xdr:row>1</xdr:row>
      <xdr:rowOff>57149</xdr:rowOff>
    </xdr:from>
    <xdr:ext cx="750867" cy="523875"/>
    <xdr:pic>
      <xdr:nvPicPr>
        <xdr:cNvPr id="4" name="Imagen 3">
          <a:extLst>
            <a:ext uri="{FF2B5EF4-FFF2-40B4-BE49-F238E27FC236}">
              <a16:creationId xmlns:a16="http://schemas.microsoft.com/office/drawing/2014/main" id="{87666319-8F10-4BC7-B896-5FC71B70619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75380" y="240029"/>
          <a:ext cx="750867" cy="523875"/>
        </a:xfrm>
        <a:prstGeom prst="rect">
          <a:avLst/>
        </a:prstGeom>
      </xdr:spPr>
    </xdr:pic>
    <xdr:clientData/>
  </xdr:oneCellAnchor>
  <xdr:oneCellAnchor>
    <xdr:from>
      <xdr:col>10</xdr:col>
      <xdr:colOff>104775</xdr:colOff>
      <xdr:row>1</xdr:row>
      <xdr:rowOff>38100</xdr:rowOff>
    </xdr:from>
    <xdr:ext cx="552450" cy="552450"/>
    <xdr:pic>
      <xdr:nvPicPr>
        <xdr:cNvPr id="5" name="4 Imagen">
          <a:extLst>
            <a:ext uri="{FF2B5EF4-FFF2-40B4-BE49-F238E27FC236}">
              <a16:creationId xmlns:a16="http://schemas.microsoft.com/office/drawing/2014/main" id="{A92CAF87-225E-4E72-8C05-FE7532CBD99B}"/>
            </a:ext>
          </a:extLst>
        </xdr:cNvPr>
        <xdr:cNvPicPr>
          <a:picLocks noChangeAspect="1"/>
        </xdr:cNvPicPr>
      </xdr:nvPicPr>
      <xdr:blipFill>
        <a:blip xmlns:r="http://schemas.openxmlformats.org/officeDocument/2006/relationships" r:embed="rId2"/>
        <a:stretch>
          <a:fillRect/>
        </a:stretch>
      </xdr:blipFill>
      <xdr:spPr>
        <a:xfrm>
          <a:off x="9317355" y="220980"/>
          <a:ext cx="552450" cy="552450"/>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2AF125CF-B806-48CB-B8AB-18D1A59E777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429E50EB-7389-49CF-9512-160E722F7BCC}"/>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722572</xdr:colOff>
      <xdr:row>8</xdr:row>
      <xdr:rowOff>149312</xdr:rowOff>
    </xdr:from>
    <xdr:to>
      <xdr:col>6</xdr:col>
      <xdr:colOff>176572</xdr:colOff>
      <xdr:row>21</xdr:row>
      <xdr:rowOff>120812</xdr:rowOff>
    </xdr:to>
    <xdr:pic>
      <xdr:nvPicPr>
        <xdr:cNvPr id="4" name="Imagen 3">
          <a:extLst>
            <a:ext uri="{FF2B5EF4-FFF2-40B4-BE49-F238E27FC236}">
              <a16:creationId xmlns:a16="http://schemas.microsoft.com/office/drawing/2014/main" id="{B30F7AA9-7F79-4848-98A2-9F82304096F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515052" y="2000972"/>
          <a:ext cx="3416400" cy="2348940"/>
        </a:xfrm>
        <a:prstGeom prst="rect">
          <a:avLst/>
        </a:prstGeom>
      </xdr:spPr>
    </xdr:pic>
    <xdr:clientData/>
  </xdr:twoCellAnchor>
  <xdr:oneCellAnchor>
    <xdr:from>
      <xdr:col>2</xdr:col>
      <xdr:colOff>627113</xdr:colOff>
      <xdr:row>40</xdr:row>
      <xdr:rowOff>60700</xdr:rowOff>
    </xdr:from>
    <xdr:ext cx="1943998" cy="2591998"/>
    <xdr:pic>
      <xdr:nvPicPr>
        <xdr:cNvPr id="5" name="Imagen 4">
          <a:extLst>
            <a:ext uri="{FF2B5EF4-FFF2-40B4-BE49-F238E27FC236}">
              <a16:creationId xmlns:a16="http://schemas.microsoft.com/office/drawing/2014/main" id="{52556263-5F11-4D1D-A7DB-9D9093F91FB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212073" y="8046460"/>
          <a:ext cx="1943998" cy="2591998"/>
        </a:xfrm>
        <a:prstGeom prst="rect">
          <a:avLst/>
        </a:prstGeom>
      </xdr:spPr>
    </xdr:pic>
    <xdr:clientData/>
  </xdr:oneCellAnchor>
  <xdr:twoCellAnchor editAs="oneCell">
    <xdr:from>
      <xdr:col>7</xdr:col>
      <xdr:colOff>218275</xdr:colOff>
      <xdr:row>8</xdr:row>
      <xdr:rowOff>163706</xdr:rowOff>
    </xdr:from>
    <xdr:to>
      <xdr:col>11</xdr:col>
      <xdr:colOff>302524</xdr:colOff>
      <xdr:row>21</xdr:row>
      <xdr:rowOff>36392</xdr:rowOff>
    </xdr:to>
    <xdr:pic>
      <xdr:nvPicPr>
        <xdr:cNvPr id="6" name="Imagen 5">
          <a:extLst>
            <a:ext uri="{FF2B5EF4-FFF2-40B4-BE49-F238E27FC236}">
              <a16:creationId xmlns:a16="http://schemas.microsoft.com/office/drawing/2014/main" id="{93C5D77C-A573-4358-812D-68268E8A9B8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765635" y="2015366"/>
          <a:ext cx="3254169" cy="2250126"/>
        </a:xfrm>
        <a:prstGeom prst="rect">
          <a:avLst/>
        </a:prstGeom>
      </xdr:spPr>
    </xdr:pic>
    <xdr:clientData/>
  </xdr:twoCellAnchor>
  <xdr:twoCellAnchor editAs="oneCell">
    <xdr:from>
      <xdr:col>7</xdr:col>
      <xdr:colOff>236723</xdr:colOff>
      <xdr:row>24</xdr:row>
      <xdr:rowOff>56101</xdr:rowOff>
    </xdr:from>
    <xdr:to>
      <xdr:col>11</xdr:col>
      <xdr:colOff>548723</xdr:colOff>
      <xdr:row>37</xdr:row>
      <xdr:rowOff>99601</xdr:rowOff>
    </xdr:to>
    <xdr:pic>
      <xdr:nvPicPr>
        <xdr:cNvPr id="7" name="Imagen 6">
          <a:extLst>
            <a:ext uri="{FF2B5EF4-FFF2-40B4-BE49-F238E27FC236}">
              <a16:creationId xmlns:a16="http://schemas.microsoft.com/office/drawing/2014/main" id="{7AD44045-37CA-49A7-9DB4-04B819A6E43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784083" y="4841461"/>
          <a:ext cx="3481920" cy="2420940"/>
        </a:xfrm>
        <a:prstGeom prst="rect">
          <a:avLst/>
        </a:prstGeom>
      </xdr:spPr>
    </xdr:pic>
    <xdr:clientData/>
  </xdr:twoCellAnchor>
  <xdr:oneCellAnchor>
    <xdr:from>
      <xdr:col>7</xdr:col>
      <xdr:colOff>171450</xdr:colOff>
      <xdr:row>40</xdr:row>
      <xdr:rowOff>47625</xdr:rowOff>
    </xdr:from>
    <xdr:ext cx="3455997" cy="2591997"/>
    <xdr:pic>
      <xdr:nvPicPr>
        <xdr:cNvPr id="8" name="Imagen 7">
          <a:extLst>
            <a:ext uri="{FF2B5EF4-FFF2-40B4-BE49-F238E27FC236}">
              <a16:creationId xmlns:a16="http://schemas.microsoft.com/office/drawing/2014/main" id="{900F1BC0-4544-4399-919E-0B043BD8871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718810" y="8033385"/>
          <a:ext cx="3455997" cy="2591997"/>
        </a:xfrm>
        <a:prstGeom prst="rect">
          <a:avLst/>
        </a:prstGeom>
      </xdr:spPr>
    </xdr:pic>
    <xdr:clientData/>
  </xdr:oneCellAnchor>
  <xdr:twoCellAnchor editAs="oneCell">
    <xdr:from>
      <xdr:col>1</xdr:col>
      <xdr:colOff>647700</xdr:colOff>
      <xdr:row>24</xdr:row>
      <xdr:rowOff>66675</xdr:rowOff>
    </xdr:from>
    <xdr:to>
      <xdr:col>6</xdr:col>
      <xdr:colOff>197700</xdr:colOff>
      <xdr:row>37</xdr:row>
      <xdr:rowOff>110175</xdr:rowOff>
    </xdr:to>
    <xdr:pic>
      <xdr:nvPicPr>
        <xdr:cNvPr id="9" name="Imagen 8">
          <a:extLst>
            <a:ext uri="{FF2B5EF4-FFF2-40B4-BE49-F238E27FC236}">
              <a16:creationId xmlns:a16="http://schemas.microsoft.com/office/drawing/2014/main" id="{6FDF781D-6546-4DD7-B960-61A8271E099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40180" y="4852035"/>
          <a:ext cx="3512400" cy="24209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936566" y="138343"/>
          <a:ext cx="843803" cy="299808"/>
        </a:xfrm>
        <a:prstGeom prst="rect">
          <a:avLst/>
        </a:prstGeom>
      </xdr:spPr>
    </xdr:pic>
    <xdr:clientData/>
  </xdr:oneCellAnchor>
  <xdr:oneCellAnchor>
    <xdr:from>
      <xdr:col>1</xdr:col>
      <xdr:colOff>247649</xdr:colOff>
      <xdr:row>0</xdr:row>
      <xdr:rowOff>123826</xdr:rowOff>
    </xdr:from>
    <xdr:ext cx="714375" cy="247649"/>
    <xdr:pic>
      <xdr:nvPicPr>
        <xdr:cNvPr id="3" name="4 Imagen">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4849" y="123826"/>
          <a:ext cx="714375" cy="247649"/>
        </a:xfrm>
        <a:prstGeom prst="rect">
          <a:avLst/>
        </a:prstGeom>
      </xdr:spPr>
    </xdr:pic>
    <xdr:clientData/>
  </xdr:oneCellAnchor>
  <xdr:twoCellAnchor editAs="oneCell">
    <xdr:from>
      <xdr:col>1</xdr:col>
      <xdr:colOff>573741</xdr:colOff>
      <xdr:row>5</xdr:row>
      <xdr:rowOff>62753</xdr:rowOff>
    </xdr:from>
    <xdr:to>
      <xdr:col>5</xdr:col>
      <xdr:colOff>856689</xdr:colOff>
      <xdr:row>18</xdr:row>
      <xdr:rowOff>135255</xdr:rowOff>
    </xdr:to>
    <xdr:pic>
      <xdr:nvPicPr>
        <xdr:cNvPr id="8" name="7 Imagen">
          <a:extLst>
            <a:ext uri="{FF2B5EF4-FFF2-40B4-BE49-F238E27FC236}">
              <a16:creationId xmlns:a16="http://schemas.microsoft.com/office/drawing/2014/main" id="{5AED989A-BF7C-45FA-8906-68693E9CDC43}"/>
            </a:ext>
          </a:extLst>
        </xdr:cNvPr>
        <xdr:cNvPicPr>
          <a:picLocks noChangeAspect="1"/>
        </xdr:cNvPicPr>
      </xdr:nvPicPr>
      <xdr:blipFill>
        <a:blip xmlns:r="http://schemas.openxmlformats.org/officeDocument/2006/relationships" r:embed="rId3"/>
        <a:stretch>
          <a:fillRect/>
        </a:stretch>
      </xdr:blipFill>
      <xdr:spPr>
        <a:xfrm>
          <a:off x="1048870" y="1488141"/>
          <a:ext cx="3438525" cy="2421255"/>
        </a:xfrm>
        <a:prstGeom prst="rect">
          <a:avLst/>
        </a:prstGeom>
      </xdr:spPr>
    </xdr:pic>
    <xdr:clientData/>
  </xdr:twoCellAnchor>
  <xdr:twoCellAnchor editAs="oneCell">
    <xdr:from>
      <xdr:col>7</xdr:col>
      <xdr:colOff>430866</xdr:colOff>
      <xdr:row>5</xdr:row>
      <xdr:rowOff>73399</xdr:rowOff>
    </xdr:from>
    <xdr:to>
      <xdr:col>11</xdr:col>
      <xdr:colOff>209326</xdr:colOff>
      <xdr:row>18</xdr:row>
      <xdr:rowOff>145901</xdr:rowOff>
    </xdr:to>
    <xdr:pic>
      <xdr:nvPicPr>
        <xdr:cNvPr id="9" name="8 Imagen">
          <a:extLst>
            <a:ext uri="{FF2B5EF4-FFF2-40B4-BE49-F238E27FC236}">
              <a16:creationId xmlns:a16="http://schemas.microsoft.com/office/drawing/2014/main" id="{FDE2F818-449E-48AA-852F-C6AB64EF1887}"/>
            </a:ext>
          </a:extLst>
        </xdr:cNvPr>
        <xdr:cNvPicPr>
          <a:picLocks noChangeAspect="1"/>
        </xdr:cNvPicPr>
      </xdr:nvPicPr>
      <xdr:blipFill>
        <a:blip xmlns:r="http://schemas.openxmlformats.org/officeDocument/2006/relationships" r:embed="rId4"/>
        <a:stretch>
          <a:fillRect/>
        </a:stretch>
      </xdr:blipFill>
      <xdr:spPr>
        <a:xfrm>
          <a:off x="5433172" y="1498787"/>
          <a:ext cx="3427095" cy="2421255"/>
        </a:xfrm>
        <a:prstGeom prst="rect">
          <a:avLst/>
        </a:prstGeom>
      </xdr:spPr>
    </xdr:pic>
    <xdr:clientData/>
  </xdr:twoCellAnchor>
  <xdr:twoCellAnchor editAs="oneCell">
    <xdr:from>
      <xdr:col>1</xdr:col>
      <xdr:colOff>586628</xdr:colOff>
      <xdr:row>21</xdr:row>
      <xdr:rowOff>49754</xdr:rowOff>
    </xdr:from>
    <xdr:to>
      <xdr:col>5</xdr:col>
      <xdr:colOff>877196</xdr:colOff>
      <xdr:row>34</xdr:row>
      <xdr:rowOff>122256</xdr:rowOff>
    </xdr:to>
    <xdr:pic>
      <xdr:nvPicPr>
        <xdr:cNvPr id="14" name="10 Imagen">
          <a:extLst>
            <a:ext uri="{FF2B5EF4-FFF2-40B4-BE49-F238E27FC236}">
              <a16:creationId xmlns:a16="http://schemas.microsoft.com/office/drawing/2014/main" id="{84A4BDE8-1E3A-4E81-90EA-1F06BBA2FFC0}"/>
            </a:ext>
          </a:extLst>
        </xdr:cNvPr>
        <xdr:cNvPicPr>
          <a:picLocks noChangeAspect="1"/>
        </xdr:cNvPicPr>
      </xdr:nvPicPr>
      <xdr:blipFill>
        <a:blip xmlns:r="http://schemas.openxmlformats.org/officeDocument/2006/relationships" r:embed="rId5"/>
        <a:stretch>
          <a:fillRect/>
        </a:stretch>
      </xdr:blipFill>
      <xdr:spPr>
        <a:xfrm>
          <a:off x="1061757" y="4585895"/>
          <a:ext cx="3446145" cy="2421255"/>
        </a:xfrm>
        <a:prstGeom prst="rect">
          <a:avLst/>
        </a:prstGeom>
      </xdr:spPr>
    </xdr:pic>
    <xdr:clientData/>
  </xdr:twoCellAnchor>
  <xdr:twoCellAnchor editAs="oneCell">
    <xdr:from>
      <xdr:col>7</xdr:col>
      <xdr:colOff>366992</xdr:colOff>
      <xdr:row>21</xdr:row>
      <xdr:rowOff>13896</xdr:rowOff>
    </xdr:from>
    <xdr:to>
      <xdr:col>11</xdr:col>
      <xdr:colOff>145452</xdr:colOff>
      <xdr:row>34</xdr:row>
      <xdr:rowOff>94018</xdr:rowOff>
    </xdr:to>
    <xdr:pic>
      <xdr:nvPicPr>
        <xdr:cNvPr id="15" name="16 Imagen">
          <a:extLst>
            <a:ext uri="{FF2B5EF4-FFF2-40B4-BE49-F238E27FC236}">
              <a16:creationId xmlns:a16="http://schemas.microsoft.com/office/drawing/2014/main" id="{40F55178-9C36-482F-A266-2734F6E39EB2}"/>
            </a:ext>
          </a:extLst>
        </xdr:cNvPr>
        <xdr:cNvPicPr>
          <a:picLocks noChangeAspect="1"/>
        </xdr:cNvPicPr>
      </xdr:nvPicPr>
      <xdr:blipFill>
        <a:blip xmlns:r="http://schemas.openxmlformats.org/officeDocument/2006/relationships" r:embed="rId6"/>
        <a:stretch>
          <a:fillRect/>
        </a:stretch>
      </xdr:blipFill>
      <xdr:spPr>
        <a:xfrm>
          <a:off x="5369298" y="4550037"/>
          <a:ext cx="3427095" cy="24288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11BCEA0-5B95-48D1-9EA4-982E51AFB5B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6D86744-7CD4-4715-9E39-65E4369157E6}"/>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oneCellAnchor>
    <xdr:from>
      <xdr:col>1</xdr:col>
      <xdr:colOff>74187</xdr:colOff>
      <xdr:row>6</xdr:row>
      <xdr:rowOff>85725</xdr:rowOff>
    </xdr:from>
    <xdr:ext cx="3592938" cy="2514601"/>
    <xdr:pic>
      <xdr:nvPicPr>
        <xdr:cNvPr id="4" name="Imagen 3">
          <a:extLst>
            <a:ext uri="{FF2B5EF4-FFF2-40B4-BE49-F238E27FC236}">
              <a16:creationId xmlns:a16="http://schemas.microsoft.com/office/drawing/2014/main" id="{1D7DD521-9C6E-44B8-A41B-8904BB1D321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0887" y="1823085"/>
          <a:ext cx="3592938" cy="2514601"/>
        </a:xfrm>
        <a:prstGeom prst="rect">
          <a:avLst/>
        </a:prstGeom>
      </xdr:spPr>
    </xdr:pic>
    <xdr:clientData/>
  </xdr:oneCellAnchor>
  <xdr:oneCellAnchor>
    <xdr:from>
      <xdr:col>7</xdr:col>
      <xdr:colOff>79325</xdr:colOff>
      <xdr:row>39</xdr:row>
      <xdr:rowOff>62045</xdr:rowOff>
    </xdr:from>
    <xdr:ext cx="4559350" cy="2520000"/>
    <xdr:pic>
      <xdr:nvPicPr>
        <xdr:cNvPr id="5" name="Imagen 4">
          <a:extLst>
            <a:ext uri="{FF2B5EF4-FFF2-40B4-BE49-F238E27FC236}">
              <a16:creationId xmlns:a16="http://schemas.microsoft.com/office/drawing/2014/main" id="{15282639-E053-4888-9961-5E728096B9C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224605" y="8588825"/>
          <a:ext cx="4559350" cy="2520000"/>
        </a:xfrm>
        <a:prstGeom prst="rect">
          <a:avLst/>
        </a:prstGeom>
      </xdr:spPr>
    </xdr:pic>
    <xdr:clientData/>
  </xdr:oneCellAnchor>
  <xdr:oneCellAnchor>
    <xdr:from>
      <xdr:col>3</xdr:col>
      <xdr:colOff>3622</xdr:colOff>
      <xdr:row>39</xdr:row>
      <xdr:rowOff>47628</xdr:rowOff>
    </xdr:from>
    <xdr:ext cx="1950241" cy="2600322"/>
    <xdr:pic>
      <xdr:nvPicPr>
        <xdr:cNvPr id="6" name="Imagen 5">
          <a:extLst>
            <a:ext uri="{FF2B5EF4-FFF2-40B4-BE49-F238E27FC236}">
              <a16:creationId xmlns:a16="http://schemas.microsoft.com/office/drawing/2014/main" id="{D15DC3F7-6482-48B0-A953-5C6C98FFBCE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5400000">
          <a:off x="874922" y="8899448"/>
          <a:ext cx="2600322" cy="1950241"/>
        </a:xfrm>
        <a:prstGeom prst="rect">
          <a:avLst/>
        </a:prstGeom>
      </xdr:spPr>
    </xdr:pic>
    <xdr:clientData/>
  </xdr:oneCellAnchor>
  <xdr:oneCellAnchor>
    <xdr:from>
      <xdr:col>7</xdr:col>
      <xdr:colOff>100599</xdr:colOff>
      <xdr:row>22</xdr:row>
      <xdr:rowOff>47627</xdr:rowOff>
    </xdr:from>
    <xdr:ext cx="4490451" cy="2552698"/>
    <xdr:pic>
      <xdr:nvPicPr>
        <xdr:cNvPr id="7" name="Imagen 6">
          <a:extLst>
            <a:ext uri="{FF2B5EF4-FFF2-40B4-BE49-F238E27FC236}">
              <a16:creationId xmlns:a16="http://schemas.microsoft.com/office/drawing/2014/main" id="{ED838A9C-B387-46E6-BAEC-481DF441A0F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45879" y="5031107"/>
          <a:ext cx="4490451" cy="2552698"/>
        </a:xfrm>
        <a:prstGeom prst="rect">
          <a:avLst/>
        </a:prstGeom>
      </xdr:spPr>
    </xdr:pic>
    <xdr:clientData/>
  </xdr:oneCellAnchor>
  <xdr:oneCellAnchor>
    <xdr:from>
      <xdr:col>7</xdr:col>
      <xdr:colOff>158723</xdr:colOff>
      <xdr:row>6</xdr:row>
      <xdr:rowOff>84539</xdr:rowOff>
    </xdr:from>
    <xdr:ext cx="4394227" cy="2496736"/>
    <xdr:pic>
      <xdr:nvPicPr>
        <xdr:cNvPr id="8" name="Imagen 7">
          <a:extLst>
            <a:ext uri="{FF2B5EF4-FFF2-40B4-BE49-F238E27FC236}">
              <a16:creationId xmlns:a16="http://schemas.microsoft.com/office/drawing/2014/main" id="{22239096-EF4A-443F-AF57-7BA0377D4CF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304003" y="1821899"/>
          <a:ext cx="4394227" cy="2496736"/>
        </a:xfrm>
        <a:prstGeom prst="rect">
          <a:avLst/>
        </a:prstGeom>
      </xdr:spPr>
    </xdr:pic>
    <xdr:clientData/>
  </xdr:oneCellAnchor>
  <xdr:oneCellAnchor>
    <xdr:from>
      <xdr:col>7</xdr:col>
      <xdr:colOff>81554</xdr:colOff>
      <xdr:row>55</xdr:row>
      <xdr:rowOff>114300</xdr:rowOff>
    </xdr:from>
    <xdr:ext cx="4490445" cy="2486025"/>
    <xdr:pic>
      <xdr:nvPicPr>
        <xdr:cNvPr id="9" name="Imagen 8">
          <a:extLst>
            <a:ext uri="{FF2B5EF4-FFF2-40B4-BE49-F238E27FC236}">
              <a16:creationId xmlns:a16="http://schemas.microsoft.com/office/drawing/2014/main" id="{AE65395A-9C37-4B13-B8A6-D8F836FA65E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226834" y="11856720"/>
          <a:ext cx="4490445" cy="2486025"/>
        </a:xfrm>
        <a:prstGeom prst="rect">
          <a:avLst/>
        </a:prstGeom>
      </xdr:spPr>
    </xdr:pic>
    <xdr:clientData/>
  </xdr:oneCellAnchor>
  <xdr:twoCellAnchor editAs="oneCell">
    <xdr:from>
      <xdr:col>1</xdr:col>
      <xdr:colOff>83541</xdr:colOff>
      <xdr:row>22</xdr:row>
      <xdr:rowOff>82156</xdr:rowOff>
    </xdr:from>
    <xdr:to>
      <xdr:col>6</xdr:col>
      <xdr:colOff>581025</xdr:colOff>
      <xdr:row>35</xdr:row>
      <xdr:rowOff>104775</xdr:rowOff>
    </xdr:to>
    <xdr:pic>
      <xdr:nvPicPr>
        <xdr:cNvPr id="10" name="Imagen 9">
          <a:extLst>
            <a:ext uri="{FF2B5EF4-FFF2-40B4-BE49-F238E27FC236}">
              <a16:creationId xmlns:a16="http://schemas.microsoft.com/office/drawing/2014/main" id="{F564E0D8-AC86-48E8-94B4-F3373BC6B7F8}"/>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350241" y="5065636"/>
          <a:ext cx="3690264" cy="2415299"/>
        </a:xfrm>
        <a:prstGeom prst="rect">
          <a:avLst/>
        </a:prstGeom>
      </xdr:spPr>
    </xdr:pic>
    <xdr:clientData/>
  </xdr:twoCellAnchor>
  <xdr:twoCellAnchor editAs="oneCell">
    <xdr:from>
      <xdr:col>1</xdr:col>
      <xdr:colOff>106218</xdr:colOff>
      <xdr:row>55</xdr:row>
      <xdr:rowOff>123825</xdr:rowOff>
    </xdr:from>
    <xdr:to>
      <xdr:col>6</xdr:col>
      <xdr:colOff>571499</xdr:colOff>
      <xdr:row>68</xdr:row>
      <xdr:rowOff>123824</xdr:rowOff>
    </xdr:to>
    <xdr:pic>
      <xdr:nvPicPr>
        <xdr:cNvPr id="11" name="Imagen 10">
          <a:extLst>
            <a:ext uri="{FF2B5EF4-FFF2-40B4-BE49-F238E27FC236}">
              <a16:creationId xmlns:a16="http://schemas.microsoft.com/office/drawing/2014/main" id="{8FCF2919-6A4C-45F9-8EDE-5EDEFA90531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72918" y="11866245"/>
          <a:ext cx="3658061" cy="2476499"/>
        </a:xfrm>
        <a:prstGeom prst="rect">
          <a:avLst/>
        </a:prstGeom>
      </xdr:spPr>
    </xdr:pic>
    <xdr:clientData/>
  </xdr:twoCellAnchor>
  <xdr:twoCellAnchor editAs="oneCell">
    <xdr:from>
      <xdr:col>7</xdr:col>
      <xdr:colOff>95250</xdr:colOff>
      <xdr:row>72</xdr:row>
      <xdr:rowOff>93886</xdr:rowOff>
    </xdr:from>
    <xdr:to>
      <xdr:col>11</xdr:col>
      <xdr:colOff>542924</xdr:colOff>
      <xdr:row>85</xdr:row>
      <xdr:rowOff>152400</xdr:rowOff>
    </xdr:to>
    <xdr:pic>
      <xdr:nvPicPr>
        <xdr:cNvPr id="12" name="Imagen 11">
          <a:extLst>
            <a:ext uri="{FF2B5EF4-FFF2-40B4-BE49-F238E27FC236}">
              <a16:creationId xmlns:a16="http://schemas.microsoft.com/office/drawing/2014/main" id="{4B4539DE-85B8-4F29-ABDE-8D037BA0B09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40530" y="15440566"/>
          <a:ext cx="4585334" cy="2435954"/>
        </a:xfrm>
        <a:prstGeom prst="rect">
          <a:avLst/>
        </a:prstGeom>
      </xdr:spPr>
    </xdr:pic>
    <xdr:clientData/>
  </xdr:twoCellAnchor>
  <xdr:twoCellAnchor editAs="oneCell">
    <xdr:from>
      <xdr:col>1</xdr:col>
      <xdr:colOff>62769</xdr:colOff>
      <xdr:row>88</xdr:row>
      <xdr:rowOff>66675</xdr:rowOff>
    </xdr:from>
    <xdr:to>
      <xdr:col>6</xdr:col>
      <xdr:colOff>619125</xdr:colOff>
      <xdr:row>101</xdr:row>
      <xdr:rowOff>108041</xdr:rowOff>
    </xdr:to>
    <xdr:pic>
      <xdr:nvPicPr>
        <xdr:cNvPr id="13" name="Imagen 12">
          <a:extLst>
            <a:ext uri="{FF2B5EF4-FFF2-40B4-BE49-F238E27FC236}">
              <a16:creationId xmlns:a16="http://schemas.microsoft.com/office/drawing/2014/main" id="{A25E1B54-18DF-48B6-8F0F-B18553F2B38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29469" y="18560415"/>
          <a:ext cx="3749136" cy="2418806"/>
        </a:xfrm>
        <a:prstGeom prst="rect">
          <a:avLst/>
        </a:prstGeom>
      </xdr:spPr>
    </xdr:pic>
    <xdr:clientData/>
  </xdr:twoCellAnchor>
  <xdr:twoCellAnchor editAs="oneCell">
    <xdr:from>
      <xdr:col>1</xdr:col>
      <xdr:colOff>54427</xdr:colOff>
      <xdr:row>72</xdr:row>
      <xdr:rowOff>47623</xdr:rowOff>
    </xdr:from>
    <xdr:to>
      <xdr:col>6</xdr:col>
      <xdr:colOff>609600</xdr:colOff>
      <xdr:row>85</xdr:row>
      <xdr:rowOff>142874</xdr:rowOff>
    </xdr:to>
    <xdr:pic>
      <xdr:nvPicPr>
        <xdr:cNvPr id="14" name="Imagen 13">
          <a:extLst>
            <a:ext uri="{FF2B5EF4-FFF2-40B4-BE49-F238E27FC236}">
              <a16:creationId xmlns:a16="http://schemas.microsoft.com/office/drawing/2014/main" id="{289B948A-F6B5-4CF7-A10E-7DA134A3EA4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21127" y="15394303"/>
          <a:ext cx="3747953" cy="2472691"/>
        </a:xfrm>
        <a:prstGeom prst="rect">
          <a:avLst/>
        </a:prstGeom>
      </xdr:spPr>
    </xdr:pic>
    <xdr:clientData/>
  </xdr:twoCellAnchor>
  <xdr:twoCellAnchor editAs="oneCell">
    <xdr:from>
      <xdr:col>8</xdr:col>
      <xdr:colOff>612658</xdr:colOff>
      <xdr:row>88</xdr:row>
      <xdr:rowOff>19049</xdr:rowOff>
    </xdr:from>
    <xdr:to>
      <xdr:col>10</xdr:col>
      <xdr:colOff>438150</xdr:colOff>
      <xdr:row>101</xdr:row>
      <xdr:rowOff>161924</xdr:rowOff>
    </xdr:to>
    <xdr:pic>
      <xdr:nvPicPr>
        <xdr:cNvPr id="15" name="Imagen 14">
          <a:extLst>
            <a:ext uri="{FF2B5EF4-FFF2-40B4-BE49-F238E27FC236}">
              <a16:creationId xmlns:a16="http://schemas.microsoft.com/office/drawing/2014/main" id="{7A4FABF8-EB40-4B26-95DD-42CF5D3701C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375158" y="18512789"/>
          <a:ext cx="2378192" cy="25203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E7A7F8F8-C4A5-46B1-8D36-E6FBAD7A60D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67CE401-8298-4AFF-9DF5-69A307715D7E}"/>
            </a:ext>
          </a:extLst>
        </xdr:cNvPr>
        <xdr:cNvPicPr>
          <a:picLocks noChangeAspect="1"/>
        </xdr:cNvPicPr>
      </xdr:nvPicPr>
      <xdr:blipFill>
        <a:blip xmlns:r="http://schemas.openxmlformats.org/officeDocument/2006/relationships" r:embed="rId2"/>
        <a:stretch>
          <a:fillRect/>
        </a:stretch>
      </xdr:blipFill>
      <xdr:spPr>
        <a:xfrm>
          <a:off x="802004" y="180976"/>
          <a:ext cx="714375" cy="247649"/>
        </a:xfrm>
        <a:prstGeom prst="rect">
          <a:avLst/>
        </a:prstGeom>
      </xdr:spPr>
    </xdr:pic>
    <xdr:clientData/>
  </xdr:oneCellAnchor>
  <xdr:twoCellAnchor editAs="oneCell">
    <xdr:from>
      <xdr:col>2</xdr:col>
      <xdr:colOff>137584</xdr:colOff>
      <xdr:row>85</xdr:row>
      <xdr:rowOff>63500</xdr:rowOff>
    </xdr:from>
    <xdr:to>
      <xdr:col>6</xdr:col>
      <xdr:colOff>375920</xdr:colOff>
      <xdr:row>98</xdr:row>
      <xdr:rowOff>98637</xdr:rowOff>
    </xdr:to>
    <xdr:pic>
      <xdr:nvPicPr>
        <xdr:cNvPr id="4" name="36 Imagen">
          <a:extLst>
            <a:ext uri="{FF2B5EF4-FFF2-40B4-BE49-F238E27FC236}">
              <a16:creationId xmlns:a16="http://schemas.microsoft.com/office/drawing/2014/main" id="{EBFAA7DD-D288-438C-91B6-C4BD6169EA48}"/>
            </a:ext>
          </a:extLst>
        </xdr:cNvPr>
        <xdr:cNvPicPr>
          <a:picLocks noChangeAspect="1"/>
        </xdr:cNvPicPr>
      </xdr:nvPicPr>
      <xdr:blipFill>
        <a:blip xmlns:r="http://schemas.openxmlformats.org/officeDocument/2006/relationships" r:embed="rId3"/>
        <a:stretch>
          <a:fillRect/>
        </a:stretch>
      </xdr:blipFill>
      <xdr:spPr>
        <a:xfrm>
          <a:off x="739564" y="17360900"/>
          <a:ext cx="3438736" cy="2427817"/>
        </a:xfrm>
        <a:prstGeom prst="rect">
          <a:avLst/>
        </a:prstGeom>
      </xdr:spPr>
    </xdr:pic>
    <xdr:clientData/>
  </xdr:twoCellAnchor>
  <xdr:twoCellAnchor editAs="oneCell">
    <xdr:from>
      <xdr:col>7</xdr:col>
      <xdr:colOff>338666</xdr:colOff>
      <xdr:row>85</xdr:row>
      <xdr:rowOff>63500</xdr:rowOff>
    </xdr:from>
    <xdr:to>
      <xdr:col>10</xdr:col>
      <xdr:colOff>831003</xdr:colOff>
      <xdr:row>98</xdr:row>
      <xdr:rowOff>98637</xdr:rowOff>
    </xdr:to>
    <xdr:pic>
      <xdr:nvPicPr>
        <xdr:cNvPr id="5" name="39 Imagen">
          <a:extLst>
            <a:ext uri="{FF2B5EF4-FFF2-40B4-BE49-F238E27FC236}">
              <a16:creationId xmlns:a16="http://schemas.microsoft.com/office/drawing/2014/main" id="{1922047B-B1FA-4FF4-BB12-C6ABDA161380}"/>
            </a:ext>
          </a:extLst>
        </xdr:cNvPr>
        <xdr:cNvPicPr>
          <a:picLocks noChangeAspect="1"/>
        </xdr:cNvPicPr>
      </xdr:nvPicPr>
      <xdr:blipFill>
        <a:blip xmlns:r="http://schemas.openxmlformats.org/officeDocument/2006/relationships" r:embed="rId4"/>
        <a:stretch>
          <a:fillRect/>
        </a:stretch>
      </xdr:blipFill>
      <xdr:spPr>
        <a:xfrm>
          <a:off x="4826846" y="17360900"/>
          <a:ext cx="3433657" cy="2427817"/>
        </a:xfrm>
        <a:prstGeom prst="rect">
          <a:avLst/>
        </a:prstGeom>
      </xdr:spPr>
    </xdr:pic>
    <xdr:clientData/>
  </xdr:twoCellAnchor>
  <xdr:twoCellAnchor editAs="oneCell">
    <xdr:from>
      <xdr:col>2</xdr:col>
      <xdr:colOff>31750</xdr:colOff>
      <xdr:row>5</xdr:row>
      <xdr:rowOff>95250</xdr:rowOff>
    </xdr:from>
    <xdr:to>
      <xdr:col>6</xdr:col>
      <xdr:colOff>270086</xdr:colOff>
      <xdr:row>18</xdr:row>
      <xdr:rowOff>130387</xdr:rowOff>
    </xdr:to>
    <xdr:pic>
      <xdr:nvPicPr>
        <xdr:cNvPr id="6" name="4 Imagen">
          <a:extLst>
            <a:ext uri="{FF2B5EF4-FFF2-40B4-BE49-F238E27FC236}">
              <a16:creationId xmlns:a16="http://schemas.microsoft.com/office/drawing/2014/main" id="{46F0A01C-D8CF-4F64-8B81-E5A7E21CA28B}"/>
            </a:ext>
          </a:extLst>
        </xdr:cNvPr>
        <xdr:cNvPicPr>
          <a:picLocks noChangeAspect="1"/>
        </xdr:cNvPicPr>
      </xdr:nvPicPr>
      <xdr:blipFill>
        <a:blip xmlns:r="http://schemas.openxmlformats.org/officeDocument/2006/relationships" r:embed="rId5"/>
        <a:stretch>
          <a:fillRect/>
        </a:stretch>
      </xdr:blipFill>
      <xdr:spPr>
        <a:xfrm>
          <a:off x="633730" y="1520190"/>
          <a:ext cx="3438736" cy="2427817"/>
        </a:xfrm>
        <a:prstGeom prst="rect">
          <a:avLst/>
        </a:prstGeom>
      </xdr:spPr>
    </xdr:pic>
    <xdr:clientData/>
  </xdr:twoCellAnchor>
  <xdr:twoCellAnchor editAs="oneCell">
    <xdr:from>
      <xdr:col>8</xdr:col>
      <xdr:colOff>42334</xdr:colOff>
      <xdr:row>5</xdr:row>
      <xdr:rowOff>63500</xdr:rowOff>
    </xdr:from>
    <xdr:to>
      <xdr:col>10</xdr:col>
      <xdr:colOff>915671</xdr:colOff>
      <xdr:row>18</xdr:row>
      <xdr:rowOff>98637</xdr:rowOff>
    </xdr:to>
    <xdr:pic>
      <xdr:nvPicPr>
        <xdr:cNvPr id="7" name="8 Imagen">
          <a:extLst>
            <a:ext uri="{FF2B5EF4-FFF2-40B4-BE49-F238E27FC236}">
              <a16:creationId xmlns:a16="http://schemas.microsoft.com/office/drawing/2014/main" id="{EC89BE99-D34A-40F9-BCB8-BC30F1C173C4}"/>
            </a:ext>
          </a:extLst>
        </xdr:cNvPr>
        <xdr:cNvPicPr>
          <a:picLocks noChangeAspect="1"/>
        </xdr:cNvPicPr>
      </xdr:nvPicPr>
      <xdr:blipFill>
        <a:blip xmlns:r="http://schemas.openxmlformats.org/officeDocument/2006/relationships" r:embed="rId6"/>
        <a:stretch>
          <a:fillRect/>
        </a:stretch>
      </xdr:blipFill>
      <xdr:spPr>
        <a:xfrm>
          <a:off x="4919134" y="1488440"/>
          <a:ext cx="3426037" cy="2427817"/>
        </a:xfrm>
        <a:prstGeom prst="rect">
          <a:avLst/>
        </a:prstGeom>
      </xdr:spPr>
    </xdr:pic>
    <xdr:clientData/>
  </xdr:twoCellAnchor>
  <xdr:twoCellAnchor editAs="oneCell">
    <xdr:from>
      <xdr:col>7</xdr:col>
      <xdr:colOff>370417</xdr:colOff>
      <xdr:row>21</xdr:row>
      <xdr:rowOff>63500</xdr:rowOff>
    </xdr:from>
    <xdr:to>
      <xdr:col>10</xdr:col>
      <xdr:colOff>862754</xdr:colOff>
      <xdr:row>34</xdr:row>
      <xdr:rowOff>98637</xdr:rowOff>
    </xdr:to>
    <xdr:pic>
      <xdr:nvPicPr>
        <xdr:cNvPr id="8" name="10 Imagen">
          <a:extLst>
            <a:ext uri="{FF2B5EF4-FFF2-40B4-BE49-F238E27FC236}">
              <a16:creationId xmlns:a16="http://schemas.microsoft.com/office/drawing/2014/main" id="{41CE7A89-1E12-4952-A09E-750119DBD2A8}"/>
            </a:ext>
          </a:extLst>
        </xdr:cNvPr>
        <xdr:cNvPicPr>
          <a:picLocks noChangeAspect="1"/>
        </xdr:cNvPicPr>
      </xdr:nvPicPr>
      <xdr:blipFill>
        <a:blip xmlns:r="http://schemas.openxmlformats.org/officeDocument/2006/relationships" r:embed="rId7"/>
        <a:stretch>
          <a:fillRect/>
        </a:stretch>
      </xdr:blipFill>
      <xdr:spPr>
        <a:xfrm>
          <a:off x="4858597" y="4681220"/>
          <a:ext cx="3433657" cy="2427817"/>
        </a:xfrm>
        <a:prstGeom prst="rect">
          <a:avLst/>
        </a:prstGeom>
      </xdr:spPr>
    </xdr:pic>
    <xdr:clientData/>
  </xdr:twoCellAnchor>
  <xdr:twoCellAnchor editAs="oneCell">
    <xdr:from>
      <xdr:col>2</xdr:col>
      <xdr:colOff>148167</xdr:colOff>
      <xdr:row>21</xdr:row>
      <xdr:rowOff>63500</xdr:rowOff>
    </xdr:from>
    <xdr:to>
      <xdr:col>6</xdr:col>
      <xdr:colOff>386503</xdr:colOff>
      <xdr:row>34</xdr:row>
      <xdr:rowOff>91017</xdr:rowOff>
    </xdr:to>
    <xdr:pic>
      <xdr:nvPicPr>
        <xdr:cNvPr id="9" name="11 Imagen">
          <a:extLst>
            <a:ext uri="{FF2B5EF4-FFF2-40B4-BE49-F238E27FC236}">
              <a16:creationId xmlns:a16="http://schemas.microsoft.com/office/drawing/2014/main" id="{F9B2155E-5D46-4697-A458-1587FBBE05BA}"/>
            </a:ext>
          </a:extLst>
        </xdr:cNvPr>
        <xdr:cNvPicPr>
          <a:picLocks noChangeAspect="1"/>
        </xdr:cNvPicPr>
      </xdr:nvPicPr>
      <xdr:blipFill>
        <a:blip xmlns:r="http://schemas.openxmlformats.org/officeDocument/2006/relationships" r:embed="rId8"/>
        <a:stretch>
          <a:fillRect/>
        </a:stretch>
      </xdr:blipFill>
      <xdr:spPr>
        <a:xfrm>
          <a:off x="750147" y="4681220"/>
          <a:ext cx="3438736" cy="2420197"/>
        </a:xfrm>
        <a:prstGeom prst="rect">
          <a:avLst/>
        </a:prstGeom>
      </xdr:spPr>
    </xdr:pic>
    <xdr:clientData/>
  </xdr:twoCellAnchor>
  <xdr:twoCellAnchor editAs="oneCell">
    <xdr:from>
      <xdr:col>2</xdr:col>
      <xdr:colOff>74083</xdr:colOff>
      <xdr:row>37</xdr:row>
      <xdr:rowOff>84667</xdr:rowOff>
    </xdr:from>
    <xdr:to>
      <xdr:col>6</xdr:col>
      <xdr:colOff>312419</xdr:colOff>
      <xdr:row>50</xdr:row>
      <xdr:rowOff>112183</xdr:rowOff>
    </xdr:to>
    <xdr:pic>
      <xdr:nvPicPr>
        <xdr:cNvPr id="10" name="13 Imagen">
          <a:extLst>
            <a:ext uri="{FF2B5EF4-FFF2-40B4-BE49-F238E27FC236}">
              <a16:creationId xmlns:a16="http://schemas.microsoft.com/office/drawing/2014/main" id="{4DD1D07A-E0F9-4891-82B0-F920539758A9}"/>
            </a:ext>
          </a:extLst>
        </xdr:cNvPr>
        <xdr:cNvPicPr>
          <a:picLocks noChangeAspect="1"/>
        </xdr:cNvPicPr>
      </xdr:nvPicPr>
      <xdr:blipFill>
        <a:blip xmlns:r="http://schemas.openxmlformats.org/officeDocument/2006/relationships" r:embed="rId9"/>
        <a:stretch>
          <a:fillRect/>
        </a:stretch>
      </xdr:blipFill>
      <xdr:spPr>
        <a:xfrm>
          <a:off x="676063" y="7895167"/>
          <a:ext cx="3438736" cy="2420196"/>
        </a:xfrm>
        <a:prstGeom prst="rect">
          <a:avLst/>
        </a:prstGeom>
      </xdr:spPr>
    </xdr:pic>
    <xdr:clientData/>
  </xdr:twoCellAnchor>
  <xdr:twoCellAnchor editAs="oneCell">
    <xdr:from>
      <xdr:col>8</xdr:col>
      <xdr:colOff>21167</xdr:colOff>
      <xdr:row>37</xdr:row>
      <xdr:rowOff>84667</xdr:rowOff>
    </xdr:from>
    <xdr:to>
      <xdr:col>10</xdr:col>
      <xdr:colOff>894504</xdr:colOff>
      <xdr:row>50</xdr:row>
      <xdr:rowOff>112183</xdr:rowOff>
    </xdr:to>
    <xdr:pic>
      <xdr:nvPicPr>
        <xdr:cNvPr id="11" name="15 Imagen">
          <a:extLst>
            <a:ext uri="{FF2B5EF4-FFF2-40B4-BE49-F238E27FC236}">
              <a16:creationId xmlns:a16="http://schemas.microsoft.com/office/drawing/2014/main" id="{1BE9E19D-1B23-4593-BFEF-81387880C4EB}"/>
            </a:ext>
          </a:extLst>
        </xdr:cNvPr>
        <xdr:cNvPicPr>
          <a:picLocks noChangeAspect="1"/>
        </xdr:cNvPicPr>
      </xdr:nvPicPr>
      <xdr:blipFill>
        <a:blip xmlns:r="http://schemas.openxmlformats.org/officeDocument/2006/relationships" r:embed="rId10"/>
        <a:stretch>
          <a:fillRect/>
        </a:stretch>
      </xdr:blipFill>
      <xdr:spPr>
        <a:xfrm>
          <a:off x="4897967" y="7895167"/>
          <a:ext cx="3426037" cy="2420196"/>
        </a:xfrm>
        <a:prstGeom prst="rect">
          <a:avLst/>
        </a:prstGeom>
      </xdr:spPr>
    </xdr:pic>
    <xdr:clientData/>
  </xdr:twoCellAnchor>
  <xdr:twoCellAnchor editAs="oneCell">
    <xdr:from>
      <xdr:col>2</xdr:col>
      <xdr:colOff>105833</xdr:colOff>
      <xdr:row>53</xdr:row>
      <xdr:rowOff>74083</xdr:rowOff>
    </xdr:from>
    <xdr:to>
      <xdr:col>6</xdr:col>
      <xdr:colOff>344169</xdr:colOff>
      <xdr:row>66</xdr:row>
      <xdr:rowOff>109220</xdr:rowOff>
    </xdr:to>
    <xdr:pic>
      <xdr:nvPicPr>
        <xdr:cNvPr id="12" name="17 Imagen">
          <a:extLst>
            <a:ext uri="{FF2B5EF4-FFF2-40B4-BE49-F238E27FC236}">
              <a16:creationId xmlns:a16="http://schemas.microsoft.com/office/drawing/2014/main" id="{A2C50E00-C058-4279-A3FA-7A0C5B0286E0}"/>
            </a:ext>
          </a:extLst>
        </xdr:cNvPr>
        <xdr:cNvPicPr>
          <a:picLocks noChangeAspect="1"/>
        </xdr:cNvPicPr>
      </xdr:nvPicPr>
      <xdr:blipFill>
        <a:blip xmlns:r="http://schemas.openxmlformats.org/officeDocument/2006/relationships" r:embed="rId11"/>
        <a:stretch>
          <a:fillRect/>
        </a:stretch>
      </xdr:blipFill>
      <xdr:spPr>
        <a:xfrm>
          <a:off x="707813" y="11077363"/>
          <a:ext cx="3438736" cy="2427817"/>
        </a:xfrm>
        <a:prstGeom prst="rect">
          <a:avLst/>
        </a:prstGeom>
      </xdr:spPr>
    </xdr:pic>
    <xdr:clientData/>
  </xdr:twoCellAnchor>
  <xdr:twoCellAnchor editAs="oneCell">
    <xdr:from>
      <xdr:col>8</xdr:col>
      <xdr:colOff>21167</xdr:colOff>
      <xdr:row>53</xdr:row>
      <xdr:rowOff>95250</xdr:rowOff>
    </xdr:from>
    <xdr:to>
      <xdr:col>10</xdr:col>
      <xdr:colOff>894504</xdr:colOff>
      <xdr:row>66</xdr:row>
      <xdr:rowOff>122767</xdr:rowOff>
    </xdr:to>
    <xdr:pic>
      <xdr:nvPicPr>
        <xdr:cNvPr id="13" name="21 Imagen">
          <a:extLst>
            <a:ext uri="{FF2B5EF4-FFF2-40B4-BE49-F238E27FC236}">
              <a16:creationId xmlns:a16="http://schemas.microsoft.com/office/drawing/2014/main" id="{7EA8A2C4-C160-4BBB-B096-07EAFA95AA37}"/>
            </a:ext>
          </a:extLst>
        </xdr:cNvPr>
        <xdr:cNvPicPr>
          <a:picLocks noChangeAspect="1"/>
        </xdr:cNvPicPr>
      </xdr:nvPicPr>
      <xdr:blipFill>
        <a:blip xmlns:r="http://schemas.openxmlformats.org/officeDocument/2006/relationships" r:embed="rId12"/>
        <a:stretch>
          <a:fillRect/>
        </a:stretch>
      </xdr:blipFill>
      <xdr:spPr>
        <a:xfrm>
          <a:off x="4897967" y="11098530"/>
          <a:ext cx="3426037" cy="2420197"/>
        </a:xfrm>
        <a:prstGeom prst="rect">
          <a:avLst/>
        </a:prstGeom>
      </xdr:spPr>
    </xdr:pic>
    <xdr:clientData/>
  </xdr:twoCellAnchor>
  <xdr:twoCellAnchor editAs="oneCell">
    <xdr:from>
      <xdr:col>2</xdr:col>
      <xdr:colOff>127001</xdr:colOff>
      <xdr:row>69</xdr:row>
      <xdr:rowOff>74083</xdr:rowOff>
    </xdr:from>
    <xdr:to>
      <xdr:col>6</xdr:col>
      <xdr:colOff>365337</xdr:colOff>
      <xdr:row>82</xdr:row>
      <xdr:rowOff>109219</xdr:rowOff>
    </xdr:to>
    <xdr:pic>
      <xdr:nvPicPr>
        <xdr:cNvPr id="14" name="25 Imagen">
          <a:extLst>
            <a:ext uri="{FF2B5EF4-FFF2-40B4-BE49-F238E27FC236}">
              <a16:creationId xmlns:a16="http://schemas.microsoft.com/office/drawing/2014/main" id="{B8F8EC21-B62B-4AAA-AC91-1DA63EC4FBFF}"/>
            </a:ext>
          </a:extLst>
        </xdr:cNvPr>
        <xdr:cNvPicPr>
          <a:picLocks noChangeAspect="1"/>
        </xdr:cNvPicPr>
      </xdr:nvPicPr>
      <xdr:blipFill>
        <a:blip xmlns:r="http://schemas.openxmlformats.org/officeDocument/2006/relationships" r:embed="rId13"/>
        <a:stretch>
          <a:fillRect/>
        </a:stretch>
      </xdr:blipFill>
      <xdr:spPr>
        <a:xfrm>
          <a:off x="728981" y="14224423"/>
          <a:ext cx="3438736" cy="2427816"/>
        </a:xfrm>
        <a:prstGeom prst="rect">
          <a:avLst/>
        </a:prstGeom>
      </xdr:spPr>
    </xdr:pic>
    <xdr:clientData/>
  </xdr:twoCellAnchor>
  <xdr:twoCellAnchor editAs="oneCell">
    <xdr:from>
      <xdr:col>8</xdr:col>
      <xdr:colOff>31750</xdr:colOff>
      <xdr:row>69</xdr:row>
      <xdr:rowOff>74083</xdr:rowOff>
    </xdr:from>
    <xdr:to>
      <xdr:col>10</xdr:col>
      <xdr:colOff>905087</xdr:colOff>
      <xdr:row>82</xdr:row>
      <xdr:rowOff>109219</xdr:rowOff>
    </xdr:to>
    <xdr:pic>
      <xdr:nvPicPr>
        <xdr:cNvPr id="15" name="35 Imagen">
          <a:extLst>
            <a:ext uri="{FF2B5EF4-FFF2-40B4-BE49-F238E27FC236}">
              <a16:creationId xmlns:a16="http://schemas.microsoft.com/office/drawing/2014/main" id="{67828E21-0C80-43A2-9DB0-4225867E9AB0}"/>
            </a:ext>
          </a:extLst>
        </xdr:cNvPr>
        <xdr:cNvPicPr>
          <a:picLocks noChangeAspect="1"/>
        </xdr:cNvPicPr>
      </xdr:nvPicPr>
      <xdr:blipFill>
        <a:blip xmlns:r="http://schemas.openxmlformats.org/officeDocument/2006/relationships" r:embed="rId14"/>
        <a:stretch>
          <a:fillRect/>
        </a:stretch>
      </xdr:blipFill>
      <xdr:spPr>
        <a:xfrm>
          <a:off x="4908550" y="14224423"/>
          <a:ext cx="3426037" cy="2427816"/>
        </a:xfrm>
        <a:prstGeom prst="rect">
          <a:avLst/>
        </a:prstGeom>
      </xdr:spPr>
    </xdr:pic>
    <xdr:clientData/>
  </xdr:twoCellAnchor>
  <xdr:twoCellAnchor editAs="oneCell">
    <xdr:from>
      <xdr:col>2</xdr:col>
      <xdr:colOff>52917</xdr:colOff>
      <xdr:row>101</xdr:row>
      <xdr:rowOff>74083</xdr:rowOff>
    </xdr:from>
    <xdr:to>
      <xdr:col>6</xdr:col>
      <xdr:colOff>291253</xdr:colOff>
      <xdr:row>114</xdr:row>
      <xdr:rowOff>109220</xdr:rowOff>
    </xdr:to>
    <xdr:pic>
      <xdr:nvPicPr>
        <xdr:cNvPr id="16" name="43 Imagen">
          <a:extLst>
            <a:ext uri="{FF2B5EF4-FFF2-40B4-BE49-F238E27FC236}">
              <a16:creationId xmlns:a16="http://schemas.microsoft.com/office/drawing/2014/main" id="{54A808D8-07FF-4D85-9EEB-DE3CD73B8B09}"/>
            </a:ext>
          </a:extLst>
        </xdr:cNvPr>
        <xdr:cNvPicPr>
          <a:picLocks noChangeAspect="1"/>
        </xdr:cNvPicPr>
      </xdr:nvPicPr>
      <xdr:blipFill>
        <a:blip xmlns:r="http://schemas.openxmlformats.org/officeDocument/2006/relationships" r:embed="rId15"/>
        <a:stretch>
          <a:fillRect/>
        </a:stretch>
      </xdr:blipFill>
      <xdr:spPr>
        <a:xfrm>
          <a:off x="654897" y="20518543"/>
          <a:ext cx="3438736" cy="2427817"/>
        </a:xfrm>
        <a:prstGeom prst="rect">
          <a:avLst/>
        </a:prstGeom>
      </xdr:spPr>
    </xdr:pic>
    <xdr:clientData/>
  </xdr:twoCellAnchor>
  <xdr:twoCellAnchor editAs="oneCell">
    <xdr:from>
      <xdr:col>7</xdr:col>
      <xdr:colOff>349250</xdr:colOff>
      <xdr:row>101</xdr:row>
      <xdr:rowOff>74083</xdr:rowOff>
    </xdr:from>
    <xdr:to>
      <xdr:col>10</xdr:col>
      <xdr:colOff>841587</xdr:colOff>
      <xdr:row>114</xdr:row>
      <xdr:rowOff>109220</xdr:rowOff>
    </xdr:to>
    <xdr:pic>
      <xdr:nvPicPr>
        <xdr:cNvPr id="17" name="46 Imagen">
          <a:extLst>
            <a:ext uri="{FF2B5EF4-FFF2-40B4-BE49-F238E27FC236}">
              <a16:creationId xmlns:a16="http://schemas.microsoft.com/office/drawing/2014/main" id="{0CEBCB50-CE88-4471-BE9D-C22ADF80D95F}"/>
            </a:ext>
          </a:extLst>
        </xdr:cNvPr>
        <xdr:cNvPicPr>
          <a:picLocks noChangeAspect="1"/>
        </xdr:cNvPicPr>
      </xdr:nvPicPr>
      <xdr:blipFill>
        <a:blip xmlns:r="http://schemas.openxmlformats.org/officeDocument/2006/relationships" r:embed="rId16"/>
        <a:stretch>
          <a:fillRect/>
        </a:stretch>
      </xdr:blipFill>
      <xdr:spPr>
        <a:xfrm>
          <a:off x="4837430" y="20518543"/>
          <a:ext cx="3433657" cy="2427817"/>
        </a:xfrm>
        <a:prstGeom prst="rect">
          <a:avLst/>
        </a:prstGeom>
      </xdr:spPr>
    </xdr:pic>
    <xdr:clientData/>
  </xdr:twoCellAnchor>
  <xdr:twoCellAnchor editAs="oneCell">
    <xdr:from>
      <xdr:col>7</xdr:col>
      <xdr:colOff>328082</xdr:colOff>
      <xdr:row>117</xdr:row>
      <xdr:rowOff>74083</xdr:rowOff>
    </xdr:from>
    <xdr:to>
      <xdr:col>10</xdr:col>
      <xdr:colOff>820419</xdr:colOff>
      <xdr:row>130</xdr:row>
      <xdr:rowOff>101599</xdr:rowOff>
    </xdr:to>
    <xdr:pic>
      <xdr:nvPicPr>
        <xdr:cNvPr id="18" name="49 Imagen">
          <a:extLst>
            <a:ext uri="{FF2B5EF4-FFF2-40B4-BE49-F238E27FC236}">
              <a16:creationId xmlns:a16="http://schemas.microsoft.com/office/drawing/2014/main" id="{1FE22D2B-CAFF-41D7-B35C-926B7C733464}"/>
            </a:ext>
          </a:extLst>
        </xdr:cNvPr>
        <xdr:cNvPicPr>
          <a:picLocks noChangeAspect="1"/>
        </xdr:cNvPicPr>
      </xdr:nvPicPr>
      <xdr:blipFill>
        <a:blip xmlns:r="http://schemas.openxmlformats.org/officeDocument/2006/relationships" r:embed="rId17"/>
        <a:stretch>
          <a:fillRect/>
        </a:stretch>
      </xdr:blipFill>
      <xdr:spPr>
        <a:xfrm>
          <a:off x="4816262" y="23665603"/>
          <a:ext cx="3433657" cy="2420196"/>
        </a:xfrm>
        <a:prstGeom prst="rect">
          <a:avLst/>
        </a:prstGeom>
      </xdr:spPr>
    </xdr:pic>
    <xdr:clientData/>
  </xdr:twoCellAnchor>
  <xdr:twoCellAnchor editAs="oneCell">
    <xdr:from>
      <xdr:col>2</xdr:col>
      <xdr:colOff>74084</xdr:colOff>
      <xdr:row>117</xdr:row>
      <xdr:rowOff>84667</xdr:rowOff>
    </xdr:from>
    <xdr:to>
      <xdr:col>6</xdr:col>
      <xdr:colOff>312420</xdr:colOff>
      <xdr:row>130</xdr:row>
      <xdr:rowOff>119803</xdr:rowOff>
    </xdr:to>
    <xdr:pic>
      <xdr:nvPicPr>
        <xdr:cNvPr id="19" name="53 Imagen">
          <a:extLst>
            <a:ext uri="{FF2B5EF4-FFF2-40B4-BE49-F238E27FC236}">
              <a16:creationId xmlns:a16="http://schemas.microsoft.com/office/drawing/2014/main" id="{1060E1EF-54EB-4DE2-9A66-AE3CECA02226}"/>
            </a:ext>
          </a:extLst>
        </xdr:cNvPr>
        <xdr:cNvPicPr>
          <a:picLocks noChangeAspect="1"/>
        </xdr:cNvPicPr>
      </xdr:nvPicPr>
      <xdr:blipFill>
        <a:blip xmlns:r="http://schemas.openxmlformats.org/officeDocument/2006/relationships" r:embed="rId18"/>
        <a:stretch>
          <a:fillRect/>
        </a:stretch>
      </xdr:blipFill>
      <xdr:spPr>
        <a:xfrm>
          <a:off x="676064" y="23676187"/>
          <a:ext cx="3438736" cy="2427816"/>
        </a:xfrm>
        <a:prstGeom prst="rect">
          <a:avLst/>
        </a:prstGeom>
      </xdr:spPr>
    </xdr:pic>
    <xdr:clientData/>
  </xdr:twoCellAnchor>
  <xdr:twoCellAnchor editAs="oneCell">
    <xdr:from>
      <xdr:col>2</xdr:col>
      <xdr:colOff>84667</xdr:colOff>
      <xdr:row>133</xdr:row>
      <xdr:rowOff>84667</xdr:rowOff>
    </xdr:from>
    <xdr:to>
      <xdr:col>6</xdr:col>
      <xdr:colOff>323003</xdr:colOff>
      <xdr:row>146</xdr:row>
      <xdr:rowOff>119804</xdr:rowOff>
    </xdr:to>
    <xdr:pic>
      <xdr:nvPicPr>
        <xdr:cNvPr id="20" name="56 Imagen">
          <a:extLst>
            <a:ext uri="{FF2B5EF4-FFF2-40B4-BE49-F238E27FC236}">
              <a16:creationId xmlns:a16="http://schemas.microsoft.com/office/drawing/2014/main" id="{DE10B270-E990-4943-805A-08554AFA5694}"/>
            </a:ext>
          </a:extLst>
        </xdr:cNvPr>
        <xdr:cNvPicPr>
          <a:picLocks noChangeAspect="1"/>
        </xdr:cNvPicPr>
      </xdr:nvPicPr>
      <xdr:blipFill>
        <a:blip xmlns:r="http://schemas.openxmlformats.org/officeDocument/2006/relationships" r:embed="rId19"/>
        <a:stretch>
          <a:fillRect/>
        </a:stretch>
      </xdr:blipFill>
      <xdr:spPr>
        <a:xfrm>
          <a:off x="686647" y="26884207"/>
          <a:ext cx="3438736" cy="2427817"/>
        </a:xfrm>
        <a:prstGeom prst="rect">
          <a:avLst/>
        </a:prstGeom>
      </xdr:spPr>
    </xdr:pic>
    <xdr:clientData/>
  </xdr:twoCellAnchor>
  <xdr:twoCellAnchor editAs="oneCell">
    <xdr:from>
      <xdr:col>8</xdr:col>
      <xdr:colOff>10583</xdr:colOff>
      <xdr:row>133</xdr:row>
      <xdr:rowOff>74084</xdr:rowOff>
    </xdr:from>
    <xdr:to>
      <xdr:col>10</xdr:col>
      <xdr:colOff>883920</xdr:colOff>
      <xdr:row>146</xdr:row>
      <xdr:rowOff>109221</xdr:rowOff>
    </xdr:to>
    <xdr:pic>
      <xdr:nvPicPr>
        <xdr:cNvPr id="21" name="59 Imagen">
          <a:extLst>
            <a:ext uri="{FF2B5EF4-FFF2-40B4-BE49-F238E27FC236}">
              <a16:creationId xmlns:a16="http://schemas.microsoft.com/office/drawing/2014/main" id="{7DB66E52-2C86-4982-BBCD-CCB9CC112B9E}"/>
            </a:ext>
          </a:extLst>
        </xdr:cNvPr>
        <xdr:cNvPicPr>
          <a:picLocks noChangeAspect="1"/>
        </xdr:cNvPicPr>
      </xdr:nvPicPr>
      <xdr:blipFill>
        <a:blip xmlns:r="http://schemas.openxmlformats.org/officeDocument/2006/relationships" r:embed="rId20"/>
        <a:stretch>
          <a:fillRect/>
        </a:stretch>
      </xdr:blipFill>
      <xdr:spPr>
        <a:xfrm>
          <a:off x="4887383" y="26873624"/>
          <a:ext cx="3426037" cy="2427817"/>
        </a:xfrm>
        <a:prstGeom prst="rect">
          <a:avLst/>
        </a:prstGeom>
      </xdr:spPr>
    </xdr:pic>
    <xdr:clientData/>
  </xdr:twoCellAnchor>
  <xdr:twoCellAnchor editAs="oneCell">
    <xdr:from>
      <xdr:col>2</xdr:col>
      <xdr:colOff>116417</xdr:colOff>
      <xdr:row>149</xdr:row>
      <xdr:rowOff>63500</xdr:rowOff>
    </xdr:from>
    <xdr:to>
      <xdr:col>6</xdr:col>
      <xdr:colOff>354753</xdr:colOff>
      <xdr:row>162</xdr:row>
      <xdr:rowOff>98636</xdr:rowOff>
    </xdr:to>
    <xdr:pic>
      <xdr:nvPicPr>
        <xdr:cNvPr id="22" name="61 Imagen">
          <a:extLst>
            <a:ext uri="{FF2B5EF4-FFF2-40B4-BE49-F238E27FC236}">
              <a16:creationId xmlns:a16="http://schemas.microsoft.com/office/drawing/2014/main" id="{A098C59C-098E-4715-962C-81AC900FE5D4}"/>
            </a:ext>
          </a:extLst>
        </xdr:cNvPr>
        <xdr:cNvPicPr>
          <a:picLocks noChangeAspect="1"/>
        </xdr:cNvPicPr>
      </xdr:nvPicPr>
      <xdr:blipFill>
        <a:blip xmlns:r="http://schemas.openxmlformats.org/officeDocument/2006/relationships" r:embed="rId21"/>
        <a:stretch>
          <a:fillRect/>
        </a:stretch>
      </xdr:blipFill>
      <xdr:spPr>
        <a:xfrm>
          <a:off x="718397" y="30055820"/>
          <a:ext cx="3438736" cy="2427816"/>
        </a:xfrm>
        <a:prstGeom prst="rect">
          <a:avLst/>
        </a:prstGeom>
      </xdr:spPr>
    </xdr:pic>
    <xdr:clientData/>
  </xdr:twoCellAnchor>
  <xdr:twoCellAnchor editAs="oneCell">
    <xdr:from>
      <xdr:col>7</xdr:col>
      <xdr:colOff>370416</xdr:colOff>
      <xdr:row>149</xdr:row>
      <xdr:rowOff>63500</xdr:rowOff>
    </xdr:from>
    <xdr:to>
      <xdr:col>10</xdr:col>
      <xdr:colOff>862753</xdr:colOff>
      <xdr:row>162</xdr:row>
      <xdr:rowOff>91016</xdr:rowOff>
    </xdr:to>
    <xdr:pic>
      <xdr:nvPicPr>
        <xdr:cNvPr id="23" name="64 Imagen">
          <a:extLst>
            <a:ext uri="{FF2B5EF4-FFF2-40B4-BE49-F238E27FC236}">
              <a16:creationId xmlns:a16="http://schemas.microsoft.com/office/drawing/2014/main" id="{398BF0A9-4715-486C-8CDC-C65AA1A5C227}"/>
            </a:ext>
          </a:extLst>
        </xdr:cNvPr>
        <xdr:cNvPicPr>
          <a:picLocks noChangeAspect="1"/>
        </xdr:cNvPicPr>
      </xdr:nvPicPr>
      <xdr:blipFill>
        <a:blip xmlns:r="http://schemas.openxmlformats.org/officeDocument/2006/relationships" r:embed="rId22"/>
        <a:stretch>
          <a:fillRect/>
        </a:stretch>
      </xdr:blipFill>
      <xdr:spPr>
        <a:xfrm>
          <a:off x="4858596" y="30055820"/>
          <a:ext cx="3433657" cy="2420196"/>
        </a:xfrm>
        <a:prstGeom prst="rect">
          <a:avLst/>
        </a:prstGeom>
      </xdr:spPr>
    </xdr:pic>
    <xdr:clientData/>
  </xdr:twoCellAnchor>
  <xdr:twoCellAnchor editAs="oneCell">
    <xdr:from>
      <xdr:col>2</xdr:col>
      <xdr:colOff>127001</xdr:colOff>
      <xdr:row>165</xdr:row>
      <xdr:rowOff>63500</xdr:rowOff>
    </xdr:from>
    <xdr:to>
      <xdr:col>6</xdr:col>
      <xdr:colOff>365337</xdr:colOff>
      <xdr:row>178</xdr:row>
      <xdr:rowOff>98637</xdr:rowOff>
    </xdr:to>
    <xdr:pic>
      <xdr:nvPicPr>
        <xdr:cNvPr id="24" name="67 Imagen">
          <a:extLst>
            <a:ext uri="{FF2B5EF4-FFF2-40B4-BE49-F238E27FC236}">
              <a16:creationId xmlns:a16="http://schemas.microsoft.com/office/drawing/2014/main" id="{11A59C93-55ED-4D68-B5A5-09D3D9CC0EBE}"/>
            </a:ext>
          </a:extLst>
        </xdr:cNvPr>
        <xdr:cNvPicPr>
          <a:picLocks noChangeAspect="1"/>
        </xdr:cNvPicPr>
      </xdr:nvPicPr>
      <xdr:blipFill>
        <a:blip xmlns:r="http://schemas.openxmlformats.org/officeDocument/2006/relationships" r:embed="rId23"/>
        <a:stretch>
          <a:fillRect/>
        </a:stretch>
      </xdr:blipFill>
      <xdr:spPr>
        <a:xfrm>
          <a:off x="728981" y="33210500"/>
          <a:ext cx="3438736" cy="2427817"/>
        </a:xfrm>
        <a:prstGeom prst="rect">
          <a:avLst/>
        </a:prstGeom>
      </xdr:spPr>
    </xdr:pic>
    <xdr:clientData/>
  </xdr:twoCellAnchor>
  <xdr:twoCellAnchor editAs="oneCell">
    <xdr:from>
      <xdr:col>7</xdr:col>
      <xdr:colOff>317500</xdr:colOff>
      <xdr:row>165</xdr:row>
      <xdr:rowOff>21166</xdr:rowOff>
    </xdr:from>
    <xdr:to>
      <xdr:col>10</xdr:col>
      <xdr:colOff>809837</xdr:colOff>
      <xdr:row>178</xdr:row>
      <xdr:rowOff>56303</xdr:rowOff>
    </xdr:to>
    <xdr:pic>
      <xdr:nvPicPr>
        <xdr:cNvPr id="25" name="72 Imagen">
          <a:extLst>
            <a:ext uri="{FF2B5EF4-FFF2-40B4-BE49-F238E27FC236}">
              <a16:creationId xmlns:a16="http://schemas.microsoft.com/office/drawing/2014/main" id="{0E1C0A70-31B3-4DCE-8F71-50203EBDB208}"/>
            </a:ext>
          </a:extLst>
        </xdr:cNvPr>
        <xdr:cNvPicPr>
          <a:picLocks noChangeAspect="1"/>
        </xdr:cNvPicPr>
      </xdr:nvPicPr>
      <xdr:blipFill>
        <a:blip xmlns:r="http://schemas.openxmlformats.org/officeDocument/2006/relationships" r:embed="rId24"/>
        <a:stretch>
          <a:fillRect/>
        </a:stretch>
      </xdr:blipFill>
      <xdr:spPr>
        <a:xfrm>
          <a:off x="4805680" y="33168166"/>
          <a:ext cx="3433657" cy="242781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063F77AA-C9AC-4CD6-BBFA-FC1C04428C6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99BB4390-1283-4CE0-8EB7-256B0C696F9A}"/>
            </a:ext>
          </a:extLst>
        </xdr:cNvPr>
        <xdr:cNvPicPr>
          <a:picLocks noChangeAspect="1"/>
        </xdr:cNvPicPr>
      </xdr:nvPicPr>
      <xdr:blipFill>
        <a:blip xmlns:r="http://schemas.openxmlformats.org/officeDocument/2006/relationships" r:embed="rId2"/>
        <a:stretch>
          <a:fillRect/>
        </a:stretch>
      </xdr:blipFill>
      <xdr:spPr>
        <a:xfrm>
          <a:off x="247649" y="123826"/>
          <a:ext cx="714375" cy="247649"/>
        </a:xfrm>
        <a:prstGeom prst="rect">
          <a:avLst/>
        </a:prstGeom>
      </xdr:spPr>
    </xdr:pic>
    <xdr:clientData/>
  </xdr:oneCellAnchor>
  <xdr:oneCellAnchor>
    <xdr:from>
      <xdr:col>0</xdr:col>
      <xdr:colOff>0</xdr:colOff>
      <xdr:row>374</xdr:row>
      <xdr:rowOff>0</xdr:rowOff>
    </xdr:from>
    <xdr:ext cx="2217420" cy="0"/>
    <xdr:pic>
      <xdr:nvPicPr>
        <xdr:cNvPr id="4" name="Imagen 3">
          <a:extLst>
            <a:ext uri="{FF2B5EF4-FFF2-40B4-BE49-F238E27FC236}">
              <a16:creationId xmlns:a16="http://schemas.microsoft.com/office/drawing/2014/main" id="{19BEF77B-B31D-4513-877C-AFA775D5B21C}"/>
            </a:ext>
          </a:extLst>
        </xdr:cNvPr>
        <xdr:cNvPicPr>
          <a:picLocks noChangeAspect="1"/>
        </xdr:cNvPicPr>
      </xdr:nvPicPr>
      <xdr:blipFill>
        <a:blip xmlns:r="http://schemas.openxmlformats.org/officeDocument/2006/relationships" r:embed="rId3"/>
        <a:stretch>
          <a:fillRect/>
        </a:stretch>
      </xdr:blipFill>
      <xdr:spPr>
        <a:xfrm>
          <a:off x="0" y="40652700"/>
          <a:ext cx="2217420" cy="0"/>
        </a:xfrm>
        <a:prstGeom prst="rect">
          <a:avLst/>
        </a:prstGeom>
      </xdr:spPr>
    </xdr:pic>
    <xdr:clientData/>
  </xdr:oneCellAnchor>
  <xdr:oneCellAnchor>
    <xdr:from>
      <xdr:col>0</xdr:col>
      <xdr:colOff>152400</xdr:colOff>
      <xdr:row>406</xdr:row>
      <xdr:rowOff>0</xdr:rowOff>
    </xdr:from>
    <xdr:ext cx="2217420" cy="0"/>
    <xdr:pic>
      <xdr:nvPicPr>
        <xdr:cNvPr id="5" name="Imagen 4">
          <a:extLst>
            <a:ext uri="{FF2B5EF4-FFF2-40B4-BE49-F238E27FC236}">
              <a16:creationId xmlns:a16="http://schemas.microsoft.com/office/drawing/2014/main" id="{4011F352-16F4-4505-9157-D6C1FB20501B}"/>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6</xdr:col>
      <xdr:colOff>560916</xdr:colOff>
      <xdr:row>149</xdr:row>
      <xdr:rowOff>52917</xdr:rowOff>
    </xdr:from>
    <xdr:ext cx="0" cy="0"/>
    <xdr:pic>
      <xdr:nvPicPr>
        <xdr:cNvPr id="6" name="Imagen 5">
          <a:extLst>
            <a:ext uri="{FF2B5EF4-FFF2-40B4-BE49-F238E27FC236}">
              <a16:creationId xmlns:a16="http://schemas.microsoft.com/office/drawing/2014/main" id="{288C2C2D-4E30-4FE0-901B-57EDC15AE51D}"/>
            </a:ext>
          </a:extLst>
        </xdr:cNvPr>
        <xdr:cNvPicPr>
          <a:picLocks noChangeAspect="1"/>
        </xdr:cNvPicPr>
      </xdr:nvPicPr>
      <xdr:blipFill>
        <a:blip xmlns:r="http://schemas.openxmlformats.org/officeDocument/2006/relationships" r:embed="rId4"/>
        <a:stretch>
          <a:fillRect/>
        </a:stretch>
      </xdr:blipFill>
      <xdr:spPr>
        <a:xfrm>
          <a:off x="5163396" y="7291917"/>
          <a:ext cx="0" cy="0"/>
        </a:xfrm>
        <a:prstGeom prst="rect">
          <a:avLst/>
        </a:prstGeom>
      </xdr:spPr>
    </xdr:pic>
    <xdr:clientData/>
  </xdr:oneCellAnchor>
  <xdr:oneCellAnchor>
    <xdr:from>
      <xdr:col>0</xdr:col>
      <xdr:colOff>349249</xdr:colOff>
      <xdr:row>470</xdr:row>
      <xdr:rowOff>63499</xdr:rowOff>
    </xdr:from>
    <xdr:ext cx="3360420" cy="2522221"/>
    <xdr:pic>
      <xdr:nvPicPr>
        <xdr:cNvPr id="7" name="Imagen 6">
          <a:extLst>
            <a:ext uri="{FF2B5EF4-FFF2-40B4-BE49-F238E27FC236}">
              <a16:creationId xmlns:a16="http://schemas.microsoft.com/office/drawing/2014/main" id="{F58D7B7C-518B-4AE1-8DEB-9CF7459E5679}"/>
            </a:ext>
          </a:extLst>
        </xdr:cNvPr>
        <xdr:cNvPicPr>
          <a:picLocks noChangeAspect="1"/>
        </xdr:cNvPicPr>
      </xdr:nvPicPr>
      <xdr:blipFill>
        <a:blip xmlns:r="http://schemas.openxmlformats.org/officeDocument/2006/relationships" r:embed="rId5"/>
        <a:stretch>
          <a:fillRect/>
        </a:stretch>
      </xdr:blipFill>
      <xdr:spPr>
        <a:xfrm>
          <a:off x="349249" y="52702459"/>
          <a:ext cx="3360420" cy="2522221"/>
        </a:xfrm>
        <a:prstGeom prst="rect">
          <a:avLst/>
        </a:prstGeom>
      </xdr:spPr>
    </xdr:pic>
    <xdr:clientData/>
  </xdr:oneCellAnchor>
  <xdr:oneCellAnchor>
    <xdr:from>
      <xdr:col>6</xdr:col>
      <xdr:colOff>296333</xdr:colOff>
      <xdr:row>470</xdr:row>
      <xdr:rowOff>74084</xdr:rowOff>
    </xdr:from>
    <xdr:ext cx="3360420" cy="2522220"/>
    <xdr:pic>
      <xdr:nvPicPr>
        <xdr:cNvPr id="8" name="Imagen 7">
          <a:extLst>
            <a:ext uri="{FF2B5EF4-FFF2-40B4-BE49-F238E27FC236}">
              <a16:creationId xmlns:a16="http://schemas.microsoft.com/office/drawing/2014/main" id="{EE0F8777-7BDB-4C1D-962E-ACA641D34C03}"/>
            </a:ext>
          </a:extLst>
        </xdr:cNvPr>
        <xdr:cNvPicPr>
          <a:picLocks noChangeAspect="1"/>
        </xdr:cNvPicPr>
      </xdr:nvPicPr>
      <xdr:blipFill>
        <a:blip xmlns:r="http://schemas.openxmlformats.org/officeDocument/2006/relationships" r:embed="rId6"/>
        <a:stretch>
          <a:fillRect/>
        </a:stretch>
      </xdr:blipFill>
      <xdr:spPr>
        <a:xfrm>
          <a:off x="4898813" y="52713044"/>
          <a:ext cx="3360420" cy="2522220"/>
        </a:xfrm>
        <a:prstGeom prst="rect">
          <a:avLst/>
        </a:prstGeom>
      </xdr:spPr>
    </xdr:pic>
    <xdr:clientData/>
  </xdr:oneCellAnchor>
  <xdr:oneCellAnchor>
    <xdr:from>
      <xdr:col>0</xdr:col>
      <xdr:colOff>152400</xdr:colOff>
      <xdr:row>421</xdr:row>
      <xdr:rowOff>0</xdr:rowOff>
    </xdr:from>
    <xdr:ext cx="2217420" cy="0"/>
    <xdr:pic>
      <xdr:nvPicPr>
        <xdr:cNvPr id="9" name="Imagen 8">
          <a:extLst>
            <a:ext uri="{FF2B5EF4-FFF2-40B4-BE49-F238E27FC236}">
              <a16:creationId xmlns:a16="http://schemas.microsoft.com/office/drawing/2014/main" id="{256E873C-B8C3-4515-9856-A891FD60767E}"/>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421</xdr:row>
      <xdr:rowOff>0</xdr:rowOff>
    </xdr:from>
    <xdr:ext cx="2217420" cy="0"/>
    <xdr:pic>
      <xdr:nvPicPr>
        <xdr:cNvPr id="10" name="Imagen 9">
          <a:extLst>
            <a:ext uri="{FF2B5EF4-FFF2-40B4-BE49-F238E27FC236}">
              <a16:creationId xmlns:a16="http://schemas.microsoft.com/office/drawing/2014/main" id="{D1736EE4-FDA7-4429-B543-63E3A0301919}"/>
            </a:ext>
          </a:extLst>
        </xdr:cNvPr>
        <xdr:cNvPicPr>
          <a:picLocks noChangeAspect="1"/>
        </xdr:cNvPicPr>
      </xdr:nvPicPr>
      <xdr:blipFill>
        <a:blip xmlns:r="http://schemas.openxmlformats.org/officeDocument/2006/relationships" r:embed="rId3"/>
        <a:stretch>
          <a:fillRect/>
        </a:stretch>
      </xdr:blipFill>
      <xdr:spPr>
        <a:xfrm>
          <a:off x="152400" y="46626780"/>
          <a:ext cx="2217420" cy="0"/>
        </a:xfrm>
        <a:prstGeom prst="rect">
          <a:avLst/>
        </a:prstGeom>
      </xdr:spPr>
    </xdr:pic>
    <xdr:clientData/>
  </xdr:oneCellAnchor>
  <xdr:oneCellAnchor>
    <xdr:from>
      <xdr:col>0</xdr:col>
      <xdr:colOff>152400</xdr:colOff>
      <xdr:row>390</xdr:row>
      <xdr:rowOff>152400</xdr:rowOff>
    </xdr:from>
    <xdr:ext cx="2217420" cy="0"/>
    <xdr:pic>
      <xdr:nvPicPr>
        <xdr:cNvPr id="11" name="Imagen 10">
          <a:extLst>
            <a:ext uri="{FF2B5EF4-FFF2-40B4-BE49-F238E27FC236}">
              <a16:creationId xmlns:a16="http://schemas.microsoft.com/office/drawing/2014/main" id="{549A726B-822E-4D0A-8F0A-1124D16F3DEB}"/>
            </a:ext>
          </a:extLst>
        </xdr:cNvPr>
        <xdr:cNvPicPr>
          <a:picLocks noChangeAspect="1"/>
        </xdr:cNvPicPr>
      </xdr:nvPicPr>
      <xdr:blipFill>
        <a:blip xmlns:r="http://schemas.openxmlformats.org/officeDocument/2006/relationships" r:embed="rId3"/>
        <a:stretch>
          <a:fillRect/>
        </a:stretch>
      </xdr:blipFill>
      <xdr:spPr>
        <a:xfrm>
          <a:off x="152400" y="43837860"/>
          <a:ext cx="2217420" cy="0"/>
        </a:xfrm>
        <a:prstGeom prst="rect">
          <a:avLst/>
        </a:prstGeom>
      </xdr:spPr>
    </xdr:pic>
    <xdr:clientData/>
  </xdr:oneCellAnchor>
  <xdr:twoCellAnchor editAs="oneCell">
    <xdr:from>
      <xdr:col>6</xdr:col>
      <xdr:colOff>349251</xdr:colOff>
      <xdr:row>374</xdr:row>
      <xdr:rowOff>74083</xdr:rowOff>
    </xdr:from>
    <xdr:to>
      <xdr:col>10</xdr:col>
      <xdr:colOff>82551</xdr:colOff>
      <xdr:row>387</xdr:row>
      <xdr:rowOff>112183</xdr:rowOff>
    </xdr:to>
    <xdr:pic>
      <xdr:nvPicPr>
        <xdr:cNvPr id="12" name="Imagen 11">
          <a:extLst>
            <a:ext uri="{FF2B5EF4-FFF2-40B4-BE49-F238E27FC236}">
              <a16:creationId xmlns:a16="http://schemas.microsoft.com/office/drawing/2014/main" id="{73A6169E-5B69-47A6-BC7C-69F78B63E747}"/>
            </a:ext>
          </a:extLst>
        </xdr:cNvPr>
        <xdr:cNvPicPr>
          <a:picLocks noChangeAspect="1"/>
        </xdr:cNvPicPr>
      </xdr:nvPicPr>
      <xdr:blipFill>
        <a:blip xmlns:r="http://schemas.openxmlformats.org/officeDocument/2006/relationships" r:embed="rId7"/>
        <a:stretch>
          <a:fillRect/>
        </a:stretch>
      </xdr:blipFill>
      <xdr:spPr>
        <a:xfrm>
          <a:off x="4951731" y="40726783"/>
          <a:ext cx="3482340" cy="2415540"/>
        </a:xfrm>
        <a:prstGeom prst="rect">
          <a:avLst/>
        </a:prstGeom>
      </xdr:spPr>
    </xdr:pic>
    <xdr:clientData/>
  </xdr:twoCellAnchor>
  <xdr:twoCellAnchor editAs="oneCell">
    <xdr:from>
      <xdr:col>0</xdr:col>
      <xdr:colOff>275165</xdr:colOff>
      <xdr:row>374</xdr:row>
      <xdr:rowOff>84667</xdr:rowOff>
    </xdr:from>
    <xdr:to>
      <xdr:col>4</xdr:col>
      <xdr:colOff>579965</xdr:colOff>
      <xdr:row>387</xdr:row>
      <xdr:rowOff>122767</xdr:rowOff>
    </xdr:to>
    <xdr:pic>
      <xdr:nvPicPr>
        <xdr:cNvPr id="13" name="Imagen 12">
          <a:extLst>
            <a:ext uri="{FF2B5EF4-FFF2-40B4-BE49-F238E27FC236}">
              <a16:creationId xmlns:a16="http://schemas.microsoft.com/office/drawing/2014/main" id="{32F5384C-71ED-485C-9924-F4C1C686D1D9}"/>
            </a:ext>
          </a:extLst>
        </xdr:cNvPr>
        <xdr:cNvPicPr>
          <a:picLocks noChangeAspect="1"/>
        </xdr:cNvPicPr>
      </xdr:nvPicPr>
      <xdr:blipFill>
        <a:blip xmlns:r="http://schemas.openxmlformats.org/officeDocument/2006/relationships" r:embed="rId8"/>
        <a:stretch>
          <a:fillRect/>
        </a:stretch>
      </xdr:blipFill>
      <xdr:spPr>
        <a:xfrm>
          <a:off x="275165" y="40737367"/>
          <a:ext cx="3474720" cy="2415540"/>
        </a:xfrm>
        <a:prstGeom prst="rect">
          <a:avLst/>
        </a:prstGeom>
      </xdr:spPr>
    </xdr:pic>
    <xdr:clientData/>
  </xdr:twoCellAnchor>
  <xdr:twoCellAnchor editAs="oneCell">
    <xdr:from>
      <xdr:col>0</xdr:col>
      <xdr:colOff>296333</xdr:colOff>
      <xdr:row>518</xdr:row>
      <xdr:rowOff>95250</xdr:rowOff>
    </xdr:from>
    <xdr:to>
      <xdr:col>4</xdr:col>
      <xdr:colOff>597574</xdr:colOff>
      <xdr:row>531</xdr:row>
      <xdr:rowOff>143398</xdr:rowOff>
    </xdr:to>
    <xdr:pic>
      <xdr:nvPicPr>
        <xdr:cNvPr id="14" name="Imagen 13">
          <a:extLst>
            <a:ext uri="{FF2B5EF4-FFF2-40B4-BE49-F238E27FC236}">
              <a16:creationId xmlns:a16="http://schemas.microsoft.com/office/drawing/2014/main" id="{FF20FE2F-1CF3-4A1A-B3B9-9D03AF24A68A}"/>
            </a:ext>
          </a:extLst>
        </xdr:cNvPr>
        <xdr:cNvPicPr>
          <a:picLocks noChangeAspect="1"/>
        </xdr:cNvPicPr>
      </xdr:nvPicPr>
      <xdr:blipFill>
        <a:blip xmlns:r="http://schemas.openxmlformats.org/officeDocument/2006/relationships" r:embed="rId9"/>
        <a:stretch>
          <a:fillRect/>
        </a:stretch>
      </xdr:blipFill>
      <xdr:spPr>
        <a:xfrm>
          <a:off x="296333" y="61824870"/>
          <a:ext cx="3471161" cy="2425588"/>
        </a:xfrm>
        <a:prstGeom prst="rect">
          <a:avLst/>
        </a:prstGeom>
      </xdr:spPr>
    </xdr:pic>
    <xdr:clientData/>
  </xdr:twoCellAnchor>
  <xdr:twoCellAnchor editAs="oneCell">
    <xdr:from>
      <xdr:col>6</xdr:col>
      <xdr:colOff>444500</xdr:colOff>
      <xdr:row>518</xdr:row>
      <xdr:rowOff>95250</xdr:rowOff>
    </xdr:from>
    <xdr:to>
      <xdr:col>10</xdr:col>
      <xdr:colOff>140872</xdr:colOff>
      <xdr:row>531</xdr:row>
      <xdr:rowOff>105298</xdr:rowOff>
    </xdr:to>
    <xdr:pic>
      <xdr:nvPicPr>
        <xdr:cNvPr id="15" name="Imagen 14">
          <a:extLst>
            <a:ext uri="{FF2B5EF4-FFF2-40B4-BE49-F238E27FC236}">
              <a16:creationId xmlns:a16="http://schemas.microsoft.com/office/drawing/2014/main" id="{AB3A4B3B-C553-4894-8654-751CE0CF7A8F}"/>
            </a:ext>
          </a:extLst>
        </xdr:cNvPr>
        <xdr:cNvPicPr>
          <a:picLocks noChangeAspect="1"/>
        </xdr:cNvPicPr>
      </xdr:nvPicPr>
      <xdr:blipFill>
        <a:blip xmlns:r="http://schemas.openxmlformats.org/officeDocument/2006/relationships" r:embed="rId10"/>
        <a:stretch>
          <a:fillRect/>
        </a:stretch>
      </xdr:blipFill>
      <xdr:spPr>
        <a:xfrm>
          <a:off x="5046980" y="61824870"/>
          <a:ext cx="3445412" cy="2387488"/>
        </a:xfrm>
        <a:prstGeom prst="rect">
          <a:avLst/>
        </a:prstGeom>
      </xdr:spPr>
    </xdr:pic>
    <xdr:clientData/>
  </xdr:twoCellAnchor>
  <xdr:twoCellAnchor editAs="oneCell">
    <xdr:from>
      <xdr:col>0</xdr:col>
      <xdr:colOff>590550</xdr:colOff>
      <xdr:row>534</xdr:row>
      <xdr:rowOff>76200</xdr:rowOff>
    </xdr:from>
    <xdr:to>
      <xdr:col>4</xdr:col>
      <xdr:colOff>864870</xdr:colOff>
      <xdr:row>547</xdr:row>
      <xdr:rowOff>91440</xdr:rowOff>
    </xdr:to>
    <xdr:pic>
      <xdr:nvPicPr>
        <xdr:cNvPr id="16" name="Imagen 15">
          <a:extLst>
            <a:ext uri="{FF2B5EF4-FFF2-40B4-BE49-F238E27FC236}">
              <a16:creationId xmlns:a16="http://schemas.microsoft.com/office/drawing/2014/main" id="{337C06FD-FDBE-4D65-8C66-225AD7231C19}"/>
            </a:ext>
          </a:extLst>
        </xdr:cNvPr>
        <xdr:cNvPicPr>
          <a:picLocks noChangeAspect="1"/>
        </xdr:cNvPicPr>
      </xdr:nvPicPr>
      <xdr:blipFill>
        <a:blip xmlns:r="http://schemas.openxmlformats.org/officeDocument/2006/relationships" r:embed="rId11"/>
        <a:stretch>
          <a:fillRect/>
        </a:stretch>
      </xdr:blipFill>
      <xdr:spPr>
        <a:xfrm>
          <a:off x="590550" y="64747140"/>
          <a:ext cx="3444240" cy="2392680"/>
        </a:xfrm>
        <a:prstGeom prst="rect">
          <a:avLst/>
        </a:prstGeom>
      </xdr:spPr>
    </xdr:pic>
    <xdr:clientData/>
  </xdr:twoCellAnchor>
  <xdr:twoCellAnchor editAs="oneCell">
    <xdr:from>
      <xdr:col>6</xdr:col>
      <xdr:colOff>400050</xdr:colOff>
      <xdr:row>166</xdr:row>
      <xdr:rowOff>66675</xdr:rowOff>
    </xdr:from>
    <xdr:to>
      <xdr:col>10</xdr:col>
      <xdr:colOff>140970</xdr:colOff>
      <xdr:row>179</xdr:row>
      <xdr:rowOff>104775</xdr:rowOff>
    </xdr:to>
    <xdr:pic>
      <xdr:nvPicPr>
        <xdr:cNvPr id="17" name="Imagen 16">
          <a:extLst>
            <a:ext uri="{FF2B5EF4-FFF2-40B4-BE49-F238E27FC236}">
              <a16:creationId xmlns:a16="http://schemas.microsoft.com/office/drawing/2014/main" id="{C9D6E824-FCDC-400A-B775-1FD30B640031}"/>
            </a:ext>
          </a:extLst>
        </xdr:cNvPr>
        <xdr:cNvPicPr>
          <a:picLocks noChangeAspect="1"/>
        </xdr:cNvPicPr>
      </xdr:nvPicPr>
      <xdr:blipFill>
        <a:blip xmlns:r="http://schemas.openxmlformats.org/officeDocument/2006/relationships" r:embed="rId12"/>
        <a:stretch>
          <a:fillRect/>
        </a:stretch>
      </xdr:blipFill>
      <xdr:spPr>
        <a:xfrm>
          <a:off x="5002530" y="10254615"/>
          <a:ext cx="3489960" cy="2415540"/>
        </a:xfrm>
        <a:prstGeom prst="rect">
          <a:avLst/>
        </a:prstGeom>
      </xdr:spPr>
    </xdr:pic>
    <xdr:clientData/>
  </xdr:twoCellAnchor>
  <xdr:twoCellAnchor editAs="oneCell">
    <xdr:from>
      <xdr:col>0</xdr:col>
      <xdr:colOff>485775</xdr:colOff>
      <xdr:row>166</xdr:row>
      <xdr:rowOff>76200</xdr:rowOff>
    </xdr:from>
    <xdr:to>
      <xdr:col>4</xdr:col>
      <xdr:colOff>790575</xdr:colOff>
      <xdr:row>179</xdr:row>
      <xdr:rowOff>114300</xdr:rowOff>
    </xdr:to>
    <xdr:pic>
      <xdr:nvPicPr>
        <xdr:cNvPr id="18" name="Imagen 17">
          <a:extLst>
            <a:ext uri="{FF2B5EF4-FFF2-40B4-BE49-F238E27FC236}">
              <a16:creationId xmlns:a16="http://schemas.microsoft.com/office/drawing/2014/main" id="{9C8BA995-247C-4B6E-9A80-41C5B6B07F63}"/>
            </a:ext>
          </a:extLst>
        </xdr:cNvPr>
        <xdr:cNvPicPr>
          <a:picLocks noChangeAspect="1"/>
        </xdr:cNvPicPr>
      </xdr:nvPicPr>
      <xdr:blipFill>
        <a:blip xmlns:r="http://schemas.openxmlformats.org/officeDocument/2006/relationships" r:embed="rId13"/>
        <a:stretch>
          <a:fillRect/>
        </a:stretch>
      </xdr:blipFill>
      <xdr:spPr>
        <a:xfrm>
          <a:off x="485775" y="10264140"/>
          <a:ext cx="3474720" cy="2415540"/>
        </a:xfrm>
        <a:prstGeom prst="rect">
          <a:avLst/>
        </a:prstGeom>
      </xdr:spPr>
    </xdr:pic>
    <xdr:clientData/>
  </xdr:twoCellAnchor>
  <xdr:twoCellAnchor editAs="oneCell">
    <xdr:from>
      <xdr:col>6</xdr:col>
      <xdr:colOff>333375</xdr:colOff>
      <xdr:row>438</xdr:row>
      <xdr:rowOff>47625</xdr:rowOff>
    </xdr:from>
    <xdr:to>
      <xdr:col>10</xdr:col>
      <xdr:colOff>74295</xdr:colOff>
      <xdr:row>451</xdr:row>
      <xdr:rowOff>93345</xdr:rowOff>
    </xdr:to>
    <xdr:pic>
      <xdr:nvPicPr>
        <xdr:cNvPr id="19" name="Imagen 18">
          <a:extLst>
            <a:ext uri="{FF2B5EF4-FFF2-40B4-BE49-F238E27FC236}">
              <a16:creationId xmlns:a16="http://schemas.microsoft.com/office/drawing/2014/main" id="{D3BFC9F0-D264-4560-A55C-4AC42EDD1C93}"/>
            </a:ext>
          </a:extLst>
        </xdr:cNvPr>
        <xdr:cNvPicPr>
          <a:picLocks noChangeAspect="1"/>
        </xdr:cNvPicPr>
      </xdr:nvPicPr>
      <xdr:blipFill>
        <a:blip xmlns:r="http://schemas.openxmlformats.org/officeDocument/2006/relationships" r:embed="rId14"/>
        <a:stretch>
          <a:fillRect/>
        </a:stretch>
      </xdr:blipFill>
      <xdr:spPr>
        <a:xfrm>
          <a:off x="4935855" y="49745265"/>
          <a:ext cx="3489960" cy="2423160"/>
        </a:xfrm>
        <a:prstGeom prst="rect">
          <a:avLst/>
        </a:prstGeom>
      </xdr:spPr>
    </xdr:pic>
    <xdr:clientData/>
  </xdr:twoCellAnchor>
  <xdr:twoCellAnchor editAs="oneCell">
    <xdr:from>
      <xdr:col>0</xdr:col>
      <xdr:colOff>457200</xdr:colOff>
      <xdr:row>438</xdr:row>
      <xdr:rowOff>114300</xdr:rowOff>
    </xdr:from>
    <xdr:to>
      <xdr:col>4</xdr:col>
      <xdr:colOff>685800</xdr:colOff>
      <xdr:row>451</xdr:row>
      <xdr:rowOff>91440</xdr:rowOff>
    </xdr:to>
    <xdr:pic>
      <xdr:nvPicPr>
        <xdr:cNvPr id="20" name="Imagen 19">
          <a:extLst>
            <a:ext uri="{FF2B5EF4-FFF2-40B4-BE49-F238E27FC236}">
              <a16:creationId xmlns:a16="http://schemas.microsoft.com/office/drawing/2014/main" id="{8327EB99-1AF9-46A7-8F0B-9F3E45CDBE3D}"/>
            </a:ext>
          </a:extLst>
        </xdr:cNvPr>
        <xdr:cNvPicPr>
          <a:picLocks noChangeAspect="1"/>
        </xdr:cNvPicPr>
      </xdr:nvPicPr>
      <xdr:blipFill>
        <a:blip xmlns:r="http://schemas.openxmlformats.org/officeDocument/2006/relationships" r:embed="rId15"/>
        <a:stretch>
          <a:fillRect/>
        </a:stretch>
      </xdr:blipFill>
      <xdr:spPr>
        <a:xfrm>
          <a:off x="457200" y="49811940"/>
          <a:ext cx="3398520" cy="2354580"/>
        </a:xfrm>
        <a:prstGeom prst="rect">
          <a:avLst/>
        </a:prstGeom>
      </xdr:spPr>
    </xdr:pic>
    <xdr:clientData/>
  </xdr:twoCellAnchor>
  <xdr:twoCellAnchor editAs="oneCell">
    <xdr:from>
      <xdr:col>6</xdr:col>
      <xdr:colOff>428625</xdr:colOff>
      <xdr:row>534</xdr:row>
      <xdr:rowOff>76200</xdr:rowOff>
    </xdr:from>
    <xdr:to>
      <xdr:col>10</xdr:col>
      <xdr:colOff>169545</xdr:colOff>
      <xdr:row>547</xdr:row>
      <xdr:rowOff>121920</xdr:rowOff>
    </xdr:to>
    <xdr:pic>
      <xdr:nvPicPr>
        <xdr:cNvPr id="21" name="Imagen 20">
          <a:extLst>
            <a:ext uri="{FF2B5EF4-FFF2-40B4-BE49-F238E27FC236}">
              <a16:creationId xmlns:a16="http://schemas.microsoft.com/office/drawing/2014/main" id="{13D5AAE8-DEAF-4F97-81EE-73D883F13582}"/>
            </a:ext>
          </a:extLst>
        </xdr:cNvPr>
        <xdr:cNvPicPr>
          <a:picLocks noChangeAspect="1"/>
        </xdr:cNvPicPr>
      </xdr:nvPicPr>
      <xdr:blipFill>
        <a:blip xmlns:r="http://schemas.openxmlformats.org/officeDocument/2006/relationships" r:embed="rId16"/>
        <a:stretch>
          <a:fillRect/>
        </a:stretch>
      </xdr:blipFill>
      <xdr:spPr>
        <a:xfrm>
          <a:off x="5031105" y="64747140"/>
          <a:ext cx="3489960" cy="2423160"/>
        </a:xfrm>
        <a:prstGeom prst="rect">
          <a:avLst/>
        </a:prstGeom>
      </xdr:spPr>
    </xdr:pic>
    <xdr:clientData/>
  </xdr:twoCellAnchor>
  <xdr:twoCellAnchor editAs="oneCell">
    <xdr:from>
      <xdr:col>0</xdr:col>
      <xdr:colOff>266700</xdr:colOff>
      <xdr:row>69</xdr:row>
      <xdr:rowOff>85725</xdr:rowOff>
    </xdr:from>
    <xdr:to>
      <xdr:col>4</xdr:col>
      <xdr:colOff>579120</xdr:colOff>
      <xdr:row>82</xdr:row>
      <xdr:rowOff>123825</xdr:rowOff>
    </xdr:to>
    <xdr:pic>
      <xdr:nvPicPr>
        <xdr:cNvPr id="22" name="Imagen 21">
          <a:extLst>
            <a:ext uri="{FF2B5EF4-FFF2-40B4-BE49-F238E27FC236}">
              <a16:creationId xmlns:a16="http://schemas.microsoft.com/office/drawing/2014/main" id="{B5A36F50-550B-466B-87A5-A39A61D7C528}"/>
            </a:ext>
          </a:extLst>
        </xdr:cNvPr>
        <xdr:cNvPicPr>
          <a:picLocks noChangeAspect="1"/>
        </xdr:cNvPicPr>
      </xdr:nvPicPr>
      <xdr:blipFill>
        <a:blip xmlns:r="http://schemas.openxmlformats.org/officeDocument/2006/relationships" r:embed="rId17"/>
        <a:stretch>
          <a:fillRect/>
        </a:stretch>
      </xdr:blipFill>
      <xdr:spPr>
        <a:xfrm>
          <a:off x="266700" y="1442085"/>
          <a:ext cx="3482340" cy="2415540"/>
        </a:xfrm>
        <a:prstGeom prst="rect">
          <a:avLst/>
        </a:prstGeom>
      </xdr:spPr>
    </xdr:pic>
    <xdr:clientData/>
  </xdr:twoCellAnchor>
  <xdr:twoCellAnchor editAs="oneCell">
    <xdr:from>
      <xdr:col>6</xdr:col>
      <xdr:colOff>381000</xdr:colOff>
      <xdr:row>69</xdr:row>
      <xdr:rowOff>66675</xdr:rowOff>
    </xdr:from>
    <xdr:to>
      <xdr:col>10</xdr:col>
      <xdr:colOff>121920</xdr:colOff>
      <xdr:row>82</xdr:row>
      <xdr:rowOff>104775</xdr:rowOff>
    </xdr:to>
    <xdr:pic>
      <xdr:nvPicPr>
        <xdr:cNvPr id="23" name="Imagen 22">
          <a:extLst>
            <a:ext uri="{FF2B5EF4-FFF2-40B4-BE49-F238E27FC236}">
              <a16:creationId xmlns:a16="http://schemas.microsoft.com/office/drawing/2014/main" id="{1BD807BB-6B32-4380-9C42-E10DFCC6AFE9}"/>
            </a:ext>
          </a:extLst>
        </xdr:cNvPr>
        <xdr:cNvPicPr>
          <a:picLocks noChangeAspect="1"/>
        </xdr:cNvPicPr>
      </xdr:nvPicPr>
      <xdr:blipFill>
        <a:blip xmlns:r="http://schemas.openxmlformats.org/officeDocument/2006/relationships" r:embed="rId18"/>
        <a:stretch>
          <a:fillRect/>
        </a:stretch>
      </xdr:blipFill>
      <xdr:spPr>
        <a:xfrm>
          <a:off x="4983480" y="1423035"/>
          <a:ext cx="3489960" cy="2415540"/>
        </a:xfrm>
        <a:prstGeom prst="rect">
          <a:avLst/>
        </a:prstGeom>
      </xdr:spPr>
    </xdr:pic>
    <xdr:clientData/>
  </xdr:twoCellAnchor>
  <xdr:twoCellAnchor editAs="oneCell">
    <xdr:from>
      <xdr:col>0</xdr:col>
      <xdr:colOff>352425</xdr:colOff>
      <xdr:row>133</xdr:row>
      <xdr:rowOff>95250</xdr:rowOff>
    </xdr:from>
    <xdr:to>
      <xdr:col>4</xdr:col>
      <xdr:colOff>664845</xdr:colOff>
      <xdr:row>146</xdr:row>
      <xdr:rowOff>140970</xdr:rowOff>
    </xdr:to>
    <xdr:pic>
      <xdr:nvPicPr>
        <xdr:cNvPr id="24" name="Imagen 23">
          <a:extLst>
            <a:ext uri="{FF2B5EF4-FFF2-40B4-BE49-F238E27FC236}">
              <a16:creationId xmlns:a16="http://schemas.microsoft.com/office/drawing/2014/main" id="{797B1C62-CF2A-403B-A8C7-FD53949D2E2A}"/>
            </a:ext>
          </a:extLst>
        </xdr:cNvPr>
        <xdr:cNvPicPr>
          <a:picLocks noChangeAspect="1"/>
        </xdr:cNvPicPr>
      </xdr:nvPicPr>
      <xdr:blipFill>
        <a:blip xmlns:r="http://schemas.openxmlformats.org/officeDocument/2006/relationships" r:embed="rId19"/>
        <a:stretch>
          <a:fillRect/>
        </a:stretch>
      </xdr:blipFill>
      <xdr:spPr>
        <a:xfrm>
          <a:off x="352425" y="4392930"/>
          <a:ext cx="3482340" cy="2423160"/>
        </a:xfrm>
        <a:prstGeom prst="rect">
          <a:avLst/>
        </a:prstGeom>
      </xdr:spPr>
    </xdr:pic>
    <xdr:clientData/>
  </xdr:twoCellAnchor>
  <xdr:twoCellAnchor editAs="oneCell">
    <xdr:from>
      <xdr:col>6</xdr:col>
      <xdr:colOff>390525</xdr:colOff>
      <xdr:row>133</xdr:row>
      <xdr:rowOff>66675</xdr:rowOff>
    </xdr:from>
    <xdr:to>
      <xdr:col>10</xdr:col>
      <xdr:colOff>131445</xdr:colOff>
      <xdr:row>146</xdr:row>
      <xdr:rowOff>104775</xdr:rowOff>
    </xdr:to>
    <xdr:pic>
      <xdr:nvPicPr>
        <xdr:cNvPr id="25" name="Imagen 24">
          <a:extLst>
            <a:ext uri="{FF2B5EF4-FFF2-40B4-BE49-F238E27FC236}">
              <a16:creationId xmlns:a16="http://schemas.microsoft.com/office/drawing/2014/main" id="{7068F58B-CD9F-46C9-AF5D-69B49310D229}"/>
            </a:ext>
          </a:extLst>
        </xdr:cNvPr>
        <xdr:cNvPicPr>
          <a:picLocks noChangeAspect="1"/>
        </xdr:cNvPicPr>
      </xdr:nvPicPr>
      <xdr:blipFill>
        <a:blip xmlns:r="http://schemas.openxmlformats.org/officeDocument/2006/relationships" r:embed="rId20"/>
        <a:stretch>
          <a:fillRect/>
        </a:stretch>
      </xdr:blipFill>
      <xdr:spPr>
        <a:xfrm>
          <a:off x="4993005" y="4364355"/>
          <a:ext cx="3489960" cy="2415540"/>
        </a:xfrm>
        <a:prstGeom prst="rect">
          <a:avLst/>
        </a:prstGeom>
      </xdr:spPr>
    </xdr:pic>
    <xdr:clientData/>
  </xdr:twoCellAnchor>
  <xdr:twoCellAnchor editAs="oneCell">
    <xdr:from>
      <xdr:col>0</xdr:col>
      <xdr:colOff>361950</xdr:colOff>
      <xdr:row>149</xdr:row>
      <xdr:rowOff>57150</xdr:rowOff>
    </xdr:from>
    <xdr:to>
      <xdr:col>4</xdr:col>
      <xdr:colOff>674370</xdr:colOff>
      <xdr:row>162</xdr:row>
      <xdr:rowOff>102870</xdr:rowOff>
    </xdr:to>
    <xdr:pic>
      <xdr:nvPicPr>
        <xdr:cNvPr id="26" name="Imagen 25">
          <a:extLst>
            <a:ext uri="{FF2B5EF4-FFF2-40B4-BE49-F238E27FC236}">
              <a16:creationId xmlns:a16="http://schemas.microsoft.com/office/drawing/2014/main" id="{F8E61B55-FB52-40FE-A93B-F6D258E3C3D2}"/>
            </a:ext>
          </a:extLst>
        </xdr:cNvPr>
        <xdr:cNvPicPr>
          <a:picLocks noChangeAspect="1"/>
        </xdr:cNvPicPr>
      </xdr:nvPicPr>
      <xdr:blipFill>
        <a:blip xmlns:r="http://schemas.openxmlformats.org/officeDocument/2006/relationships" r:embed="rId21"/>
        <a:stretch>
          <a:fillRect/>
        </a:stretch>
      </xdr:blipFill>
      <xdr:spPr>
        <a:xfrm>
          <a:off x="361950" y="7296150"/>
          <a:ext cx="3482340" cy="2423160"/>
        </a:xfrm>
        <a:prstGeom prst="rect">
          <a:avLst/>
        </a:prstGeom>
      </xdr:spPr>
    </xdr:pic>
    <xdr:clientData/>
  </xdr:twoCellAnchor>
  <xdr:twoCellAnchor editAs="oneCell">
    <xdr:from>
      <xdr:col>6</xdr:col>
      <xdr:colOff>390525</xdr:colOff>
      <xdr:row>149</xdr:row>
      <xdr:rowOff>76200</xdr:rowOff>
    </xdr:from>
    <xdr:to>
      <xdr:col>10</xdr:col>
      <xdr:colOff>131445</xdr:colOff>
      <xdr:row>162</xdr:row>
      <xdr:rowOff>121920</xdr:rowOff>
    </xdr:to>
    <xdr:pic>
      <xdr:nvPicPr>
        <xdr:cNvPr id="27" name="Imagen 26">
          <a:extLst>
            <a:ext uri="{FF2B5EF4-FFF2-40B4-BE49-F238E27FC236}">
              <a16:creationId xmlns:a16="http://schemas.microsoft.com/office/drawing/2014/main" id="{CC8ADFF6-FE79-4F51-8B4B-C81D7B64F502}"/>
            </a:ext>
          </a:extLst>
        </xdr:cNvPr>
        <xdr:cNvPicPr>
          <a:picLocks noChangeAspect="1"/>
        </xdr:cNvPicPr>
      </xdr:nvPicPr>
      <xdr:blipFill>
        <a:blip xmlns:r="http://schemas.openxmlformats.org/officeDocument/2006/relationships" r:embed="rId22"/>
        <a:stretch>
          <a:fillRect/>
        </a:stretch>
      </xdr:blipFill>
      <xdr:spPr>
        <a:xfrm>
          <a:off x="4993005" y="7315200"/>
          <a:ext cx="3489960" cy="2423160"/>
        </a:xfrm>
        <a:prstGeom prst="rect">
          <a:avLst/>
        </a:prstGeom>
      </xdr:spPr>
    </xdr:pic>
    <xdr:clientData/>
  </xdr:twoCellAnchor>
  <xdr:twoCellAnchor editAs="oneCell">
    <xdr:from>
      <xdr:col>0</xdr:col>
      <xdr:colOff>304800</xdr:colOff>
      <xdr:row>182</xdr:row>
      <xdr:rowOff>95250</xdr:rowOff>
    </xdr:from>
    <xdr:to>
      <xdr:col>4</xdr:col>
      <xdr:colOff>617220</xdr:colOff>
      <xdr:row>195</xdr:row>
      <xdr:rowOff>133350</xdr:rowOff>
    </xdr:to>
    <xdr:pic>
      <xdr:nvPicPr>
        <xdr:cNvPr id="28" name="Imagen 27">
          <a:extLst>
            <a:ext uri="{FF2B5EF4-FFF2-40B4-BE49-F238E27FC236}">
              <a16:creationId xmlns:a16="http://schemas.microsoft.com/office/drawing/2014/main" id="{ECB470AD-14E6-4029-8597-D891A7B473DC}"/>
            </a:ext>
          </a:extLst>
        </xdr:cNvPr>
        <xdr:cNvPicPr>
          <a:picLocks noChangeAspect="1"/>
        </xdr:cNvPicPr>
      </xdr:nvPicPr>
      <xdr:blipFill>
        <a:blip xmlns:r="http://schemas.openxmlformats.org/officeDocument/2006/relationships" r:embed="rId23"/>
        <a:stretch>
          <a:fillRect/>
        </a:stretch>
      </xdr:blipFill>
      <xdr:spPr>
        <a:xfrm>
          <a:off x="304800" y="13224510"/>
          <a:ext cx="3482340" cy="2514600"/>
        </a:xfrm>
        <a:prstGeom prst="rect">
          <a:avLst/>
        </a:prstGeom>
      </xdr:spPr>
    </xdr:pic>
    <xdr:clientData/>
  </xdr:twoCellAnchor>
  <xdr:twoCellAnchor editAs="oneCell">
    <xdr:from>
      <xdr:col>6</xdr:col>
      <xdr:colOff>466725</xdr:colOff>
      <xdr:row>182</xdr:row>
      <xdr:rowOff>85725</xdr:rowOff>
    </xdr:from>
    <xdr:to>
      <xdr:col>10</xdr:col>
      <xdr:colOff>207645</xdr:colOff>
      <xdr:row>195</xdr:row>
      <xdr:rowOff>123825</xdr:rowOff>
    </xdr:to>
    <xdr:pic>
      <xdr:nvPicPr>
        <xdr:cNvPr id="29" name="Imagen 28">
          <a:extLst>
            <a:ext uri="{FF2B5EF4-FFF2-40B4-BE49-F238E27FC236}">
              <a16:creationId xmlns:a16="http://schemas.microsoft.com/office/drawing/2014/main" id="{45998CD4-EDCB-4FA9-AAC7-FF1CAAE46D8E}"/>
            </a:ext>
          </a:extLst>
        </xdr:cNvPr>
        <xdr:cNvPicPr>
          <a:picLocks noChangeAspect="1"/>
        </xdr:cNvPicPr>
      </xdr:nvPicPr>
      <xdr:blipFill>
        <a:blip xmlns:r="http://schemas.openxmlformats.org/officeDocument/2006/relationships" r:embed="rId24"/>
        <a:stretch>
          <a:fillRect/>
        </a:stretch>
      </xdr:blipFill>
      <xdr:spPr>
        <a:xfrm>
          <a:off x="5069205" y="13214985"/>
          <a:ext cx="3489960" cy="2514600"/>
        </a:xfrm>
        <a:prstGeom prst="rect">
          <a:avLst/>
        </a:prstGeom>
      </xdr:spPr>
    </xdr:pic>
    <xdr:clientData/>
  </xdr:twoCellAnchor>
  <xdr:twoCellAnchor editAs="oneCell">
    <xdr:from>
      <xdr:col>0</xdr:col>
      <xdr:colOff>304800</xdr:colOff>
      <xdr:row>198</xdr:row>
      <xdr:rowOff>95250</xdr:rowOff>
    </xdr:from>
    <xdr:to>
      <xdr:col>4</xdr:col>
      <xdr:colOff>617220</xdr:colOff>
      <xdr:row>211</xdr:row>
      <xdr:rowOff>140970</xdr:rowOff>
    </xdr:to>
    <xdr:pic>
      <xdr:nvPicPr>
        <xdr:cNvPr id="30" name="Imagen 29">
          <a:extLst>
            <a:ext uri="{FF2B5EF4-FFF2-40B4-BE49-F238E27FC236}">
              <a16:creationId xmlns:a16="http://schemas.microsoft.com/office/drawing/2014/main" id="{DCFFFFA8-261D-4C0D-BE82-AE9756B99EB2}"/>
            </a:ext>
          </a:extLst>
        </xdr:cNvPr>
        <xdr:cNvPicPr>
          <a:picLocks noChangeAspect="1"/>
        </xdr:cNvPicPr>
      </xdr:nvPicPr>
      <xdr:blipFill>
        <a:blip xmlns:r="http://schemas.openxmlformats.org/officeDocument/2006/relationships" r:embed="rId25"/>
        <a:stretch>
          <a:fillRect/>
        </a:stretch>
      </xdr:blipFill>
      <xdr:spPr>
        <a:xfrm>
          <a:off x="304800" y="16272510"/>
          <a:ext cx="3482340" cy="2522220"/>
        </a:xfrm>
        <a:prstGeom prst="rect">
          <a:avLst/>
        </a:prstGeom>
      </xdr:spPr>
    </xdr:pic>
    <xdr:clientData/>
  </xdr:twoCellAnchor>
  <xdr:twoCellAnchor editAs="oneCell">
    <xdr:from>
      <xdr:col>6</xdr:col>
      <xdr:colOff>304800</xdr:colOff>
      <xdr:row>198</xdr:row>
      <xdr:rowOff>76200</xdr:rowOff>
    </xdr:from>
    <xdr:to>
      <xdr:col>10</xdr:col>
      <xdr:colOff>45720</xdr:colOff>
      <xdr:row>211</xdr:row>
      <xdr:rowOff>121920</xdr:rowOff>
    </xdr:to>
    <xdr:pic>
      <xdr:nvPicPr>
        <xdr:cNvPr id="31" name="Imagen 30">
          <a:extLst>
            <a:ext uri="{FF2B5EF4-FFF2-40B4-BE49-F238E27FC236}">
              <a16:creationId xmlns:a16="http://schemas.microsoft.com/office/drawing/2014/main" id="{A1D5C84C-743A-412B-93A3-3CAE603E0C9F}"/>
            </a:ext>
          </a:extLst>
        </xdr:cNvPr>
        <xdr:cNvPicPr>
          <a:picLocks noChangeAspect="1"/>
        </xdr:cNvPicPr>
      </xdr:nvPicPr>
      <xdr:blipFill>
        <a:blip xmlns:r="http://schemas.openxmlformats.org/officeDocument/2006/relationships" r:embed="rId26"/>
        <a:stretch>
          <a:fillRect/>
        </a:stretch>
      </xdr:blipFill>
      <xdr:spPr>
        <a:xfrm>
          <a:off x="4907280" y="16253460"/>
          <a:ext cx="3489960" cy="2522220"/>
        </a:xfrm>
        <a:prstGeom prst="rect">
          <a:avLst/>
        </a:prstGeom>
      </xdr:spPr>
    </xdr:pic>
    <xdr:clientData/>
  </xdr:twoCellAnchor>
  <xdr:twoCellAnchor editAs="oneCell">
    <xdr:from>
      <xdr:col>0</xdr:col>
      <xdr:colOff>400050</xdr:colOff>
      <xdr:row>259</xdr:row>
      <xdr:rowOff>76200</xdr:rowOff>
    </xdr:from>
    <xdr:to>
      <xdr:col>4</xdr:col>
      <xdr:colOff>712470</xdr:colOff>
      <xdr:row>272</xdr:row>
      <xdr:rowOff>121920</xdr:rowOff>
    </xdr:to>
    <xdr:pic>
      <xdr:nvPicPr>
        <xdr:cNvPr id="32" name="Imagen 31">
          <a:extLst>
            <a:ext uri="{FF2B5EF4-FFF2-40B4-BE49-F238E27FC236}">
              <a16:creationId xmlns:a16="http://schemas.microsoft.com/office/drawing/2014/main" id="{D45A3511-AE78-48D9-8E85-E7D1208E536B}"/>
            </a:ext>
          </a:extLst>
        </xdr:cNvPr>
        <xdr:cNvPicPr>
          <a:picLocks noChangeAspect="1"/>
        </xdr:cNvPicPr>
      </xdr:nvPicPr>
      <xdr:blipFill>
        <a:blip xmlns:r="http://schemas.openxmlformats.org/officeDocument/2006/relationships" r:embed="rId27"/>
        <a:stretch>
          <a:fillRect/>
        </a:stretch>
      </xdr:blipFill>
      <xdr:spPr>
        <a:xfrm>
          <a:off x="400050" y="19301460"/>
          <a:ext cx="3482340" cy="2522220"/>
        </a:xfrm>
        <a:prstGeom prst="rect">
          <a:avLst/>
        </a:prstGeom>
      </xdr:spPr>
    </xdr:pic>
    <xdr:clientData/>
  </xdr:twoCellAnchor>
  <xdr:twoCellAnchor editAs="oneCell">
    <xdr:from>
      <xdr:col>6</xdr:col>
      <xdr:colOff>371475</xdr:colOff>
      <xdr:row>259</xdr:row>
      <xdr:rowOff>85725</xdr:rowOff>
    </xdr:from>
    <xdr:to>
      <xdr:col>10</xdr:col>
      <xdr:colOff>112395</xdr:colOff>
      <xdr:row>272</xdr:row>
      <xdr:rowOff>131445</xdr:rowOff>
    </xdr:to>
    <xdr:pic>
      <xdr:nvPicPr>
        <xdr:cNvPr id="33" name="Imagen 32">
          <a:extLst>
            <a:ext uri="{FF2B5EF4-FFF2-40B4-BE49-F238E27FC236}">
              <a16:creationId xmlns:a16="http://schemas.microsoft.com/office/drawing/2014/main" id="{8A963A11-773E-46A2-BAC6-E77AC0942B9A}"/>
            </a:ext>
          </a:extLst>
        </xdr:cNvPr>
        <xdr:cNvPicPr>
          <a:picLocks noChangeAspect="1"/>
        </xdr:cNvPicPr>
      </xdr:nvPicPr>
      <xdr:blipFill>
        <a:blip xmlns:r="http://schemas.openxmlformats.org/officeDocument/2006/relationships" r:embed="rId28"/>
        <a:stretch>
          <a:fillRect/>
        </a:stretch>
      </xdr:blipFill>
      <xdr:spPr>
        <a:xfrm>
          <a:off x="4973955" y="19310985"/>
          <a:ext cx="3489960" cy="2522220"/>
        </a:xfrm>
        <a:prstGeom prst="rect">
          <a:avLst/>
        </a:prstGeom>
      </xdr:spPr>
    </xdr:pic>
    <xdr:clientData/>
  </xdr:twoCellAnchor>
  <xdr:twoCellAnchor editAs="oneCell">
    <xdr:from>
      <xdr:col>0</xdr:col>
      <xdr:colOff>409575</xdr:colOff>
      <xdr:row>275</xdr:row>
      <xdr:rowOff>114300</xdr:rowOff>
    </xdr:from>
    <xdr:to>
      <xdr:col>4</xdr:col>
      <xdr:colOff>721995</xdr:colOff>
      <xdr:row>288</xdr:row>
      <xdr:rowOff>160020</xdr:rowOff>
    </xdr:to>
    <xdr:pic>
      <xdr:nvPicPr>
        <xdr:cNvPr id="34" name="Imagen 33">
          <a:extLst>
            <a:ext uri="{FF2B5EF4-FFF2-40B4-BE49-F238E27FC236}">
              <a16:creationId xmlns:a16="http://schemas.microsoft.com/office/drawing/2014/main" id="{BEE69FBC-5620-47CC-BCA9-3D5E8307D173}"/>
            </a:ext>
          </a:extLst>
        </xdr:cNvPr>
        <xdr:cNvPicPr>
          <a:picLocks noChangeAspect="1"/>
        </xdr:cNvPicPr>
      </xdr:nvPicPr>
      <xdr:blipFill>
        <a:blip xmlns:r="http://schemas.openxmlformats.org/officeDocument/2006/relationships" r:embed="rId29"/>
        <a:stretch>
          <a:fillRect/>
        </a:stretch>
      </xdr:blipFill>
      <xdr:spPr>
        <a:xfrm>
          <a:off x="409575" y="22387560"/>
          <a:ext cx="3482340" cy="2522220"/>
        </a:xfrm>
        <a:prstGeom prst="rect">
          <a:avLst/>
        </a:prstGeom>
      </xdr:spPr>
    </xdr:pic>
    <xdr:clientData/>
  </xdr:twoCellAnchor>
  <xdr:twoCellAnchor editAs="oneCell">
    <xdr:from>
      <xdr:col>6</xdr:col>
      <xdr:colOff>523875</xdr:colOff>
      <xdr:row>275</xdr:row>
      <xdr:rowOff>104775</xdr:rowOff>
    </xdr:from>
    <xdr:to>
      <xdr:col>10</xdr:col>
      <xdr:colOff>264795</xdr:colOff>
      <xdr:row>288</xdr:row>
      <xdr:rowOff>150495</xdr:rowOff>
    </xdr:to>
    <xdr:pic>
      <xdr:nvPicPr>
        <xdr:cNvPr id="35" name="Imagen 34">
          <a:extLst>
            <a:ext uri="{FF2B5EF4-FFF2-40B4-BE49-F238E27FC236}">
              <a16:creationId xmlns:a16="http://schemas.microsoft.com/office/drawing/2014/main" id="{649135B4-FD24-4490-BED4-73A57D070439}"/>
            </a:ext>
          </a:extLst>
        </xdr:cNvPr>
        <xdr:cNvPicPr>
          <a:picLocks noChangeAspect="1"/>
        </xdr:cNvPicPr>
      </xdr:nvPicPr>
      <xdr:blipFill>
        <a:blip xmlns:r="http://schemas.openxmlformats.org/officeDocument/2006/relationships" r:embed="rId30"/>
        <a:stretch>
          <a:fillRect/>
        </a:stretch>
      </xdr:blipFill>
      <xdr:spPr>
        <a:xfrm>
          <a:off x="5126355" y="22378035"/>
          <a:ext cx="3489960" cy="2522220"/>
        </a:xfrm>
        <a:prstGeom prst="rect">
          <a:avLst/>
        </a:prstGeom>
      </xdr:spPr>
    </xdr:pic>
    <xdr:clientData/>
  </xdr:twoCellAnchor>
  <xdr:twoCellAnchor editAs="oneCell">
    <xdr:from>
      <xdr:col>0</xdr:col>
      <xdr:colOff>419100</xdr:colOff>
      <xdr:row>292</xdr:row>
      <xdr:rowOff>66675</xdr:rowOff>
    </xdr:from>
    <xdr:to>
      <xdr:col>4</xdr:col>
      <xdr:colOff>731520</xdr:colOff>
      <xdr:row>305</xdr:row>
      <xdr:rowOff>112395</xdr:rowOff>
    </xdr:to>
    <xdr:pic>
      <xdr:nvPicPr>
        <xdr:cNvPr id="36" name="Imagen 35">
          <a:extLst>
            <a:ext uri="{FF2B5EF4-FFF2-40B4-BE49-F238E27FC236}">
              <a16:creationId xmlns:a16="http://schemas.microsoft.com/office/drawing/2014/main" id="{F6B34FEA-FFD6-4EC8-9297-0CE06C6ABDCF}"/>
            </a:ext>
          </a:extLst>
        </xdr:cNvPr>
        <xdr:cNvPicPr>
          <a:picLocks noChangeAspect="1"/>
        </xdr:cNvPicPr>
      </xdr:nvPicPr>
      <xdr:blipFill>
        <a:blip xmlns:r="http://schemas.openxmlformats.org/officeDocument/2006/relationships" r:embed="rId31"/>
        <a:stretch>
          <a:fillRect/>
        </a:stretch>
      </xdr:blipFill>
      <xdr:spPr>
        <a:xfrm>
          <a:off x="419100" y="25456515"/>
          <a:ext cx="3482340" cy="2522220"/>
        </a:xfrm>
        <a:prstGeom prst="rect">
          <a:avLst/>
        </a:prstGeom>
      </xdr:spPr>
    </xdr:pic>
    <xdr:clientData/>
  </xdr:twoCellAnchor>
  <xdr:oneCellAnchor>
    <xdr:from>
      <xdr:col>6</xdr:col>
      <xdr:colOff>457200</xdr:colOff>
      <xdr:row>292</xdr:row>
      <xdr:rowOff>85725</xdr:rowOff>
    </xdr:from>
    <xdr:ext cx="3360420" cy="2522220"/>
    <xdr:pic>
      <xdr:nvPicPr>
        <xdr:cNvPr id="37" name="Imagen 36">
          <a:extLst>
            <a:ext uri="{FF2B5EF4-FFF2-40B4-BE49-F238E27FC236}">
              <a16:creationId xmlns:a16="http://schemas.microsoft.com/office/drawing/2014/main" id="{087C1AF4-245E-4103-96D0-8AAA2664FD87}"/>
            </a:ext>
          </a:extLst>
        </xdr:cNvPr>
        <xdr:cNvPicPr>
          <a:picLocks noChangeAspect="1"/>
        </xdr:cNvPicPr>
      </xdr:nvPicPr>
      <xdr:blipFill>
        <a:blip xmlns:r="http://schemas.openxmlformats.org/officeDocument/2006/relationships" r:embed="rId32"/>
        <a:stretch>
          <a:fillRect/>
        </a:stretch>
      </xdr:blipFill>
      <xdr:spPr>
        <a:xfrm>
          <a:off x="5059680" y="25475565"/>
          <a:ext cx="3360420" cy="2522220"/>
        </a:xfrm>
        <a:prstGeom prst="rect">
          <a:avLst/>
        </a:prstGeom>
      </xdr:spPr>
    </xdr:pic>
    <xdr:clientData/>
  </xdr:oneCellAnchor>
  <xdr:twoCellAnchor editAs="oneCell">
    <xdr:from>
      <xdr:col>0</xdr:col>
      <xdr:colOff>390525</xdr:colOff>
      <xdr:row>309</xdr:row>
      <xdr:rowOff>95250</xdr:rowOff>
    </xdr:from>
    <xdr:to>
      <xdr:col>4</xdr:col>
      <xdr:colOff>702945</xdr:colOff>
      <xdr:row>322</xdr:row>
      <xdr:rowOff>140970</xdr:rowOff>
    </xdr:to>
    <xdr:pic>
      <xdr:nvPicPr>
        <xdr:cNvPr id="38" name="Imagen 37">
          <a:extLst>
            <a:ext uri="{FF2B5EF4-FFF2-40B4-BE49-F238E27FC236}">
              <a16:creationId xmlns:a16="http://schemas.microsoft.com/office/drawing/2014/main" id="{1DBFBAE8-155E-4110-B842-13DFBA3FA531}"/>
            </a:ext>
          </a:extLst>
        </xdr:cNvPr>
        <xdr:cNvPicPr>
          <a:picLocks noChangeAspect="1"/>
        </xdr:cNvPicPr>
      </xdr:nvPicPr>
      <xdr:blipFill>
        <a:blip xmlns:r="http://schemas.openxmlformats.org/officeDocument/2006/relationships" r:embed="rId33"/>
        <a:stretch>
          <a:fillRect/>
        </a:stretch>
      </xdr:blipFill>
      <xdr:spPr>
        <a:xfrm>
          <a:off x="390525" y="28601670"/>
          <a:ext cx="3482340" cy="2522220"/>
        </a:xfrm>
        <a:prstGeom prst="rect">
          <a:avLst/>
        </a:prstGeom>
      </xdr:spPr>
    </xdr:pic>
    <xdr:clientData/>
  </xdr:twoCellAnchor>
  <xdr:twoCellAnchor editAs="oneCell">
    <xdr:from>
      <xdr:col>6</xdr:col>
      <xdr:colOff>447675</xdr:colOff>
      <xdr:row>309</xdr:row>
      <xdr:rowOff>114300</xdr:rowOff>
    </xdr:from>
    <xdr:to>
      <xdr:col>10</xdr:col>
      <xdr:colOff>188595</xdr:colOff>
      <xdr:row>322</xdr:row>
      <xdr:rowOff>160020</xdr:rowOff>
    </xdr:to>
    <xdr:pic>
      <xdr:nvPicPr>
        <xdr:cNvPr id="39" name="Imagen 38">
          <a:extLst>
            <a:ext uri="{FF2B5EF4-FFF2-40B4-BE49-F238E27FC236}">
              <a16:creationId xmlns:a16="http://schemas.microsoft.com/office/drawing/2014/main" id="{DA1BCBA0-5002-4F50-A7AD-3FEF5E9D0964}"/>
            </a:ext>
          </a:extLst>
        </xdr:cNvPr>
        <xdr:cNvPicPr>
          <a:picLocks noChangeAspect="1"/>
        </xdr:cNvPicPr>
      </xdr:nvPicPr>
      <xdr:blipFill>
        <a:blip xmlns:r="http://schemas.openxmlformats.org/officeDocument/2006/relationships" r:embed="rId34"/>
        <a:stretch>
          <a:fillRect/>
        </a:stretch>
      </xdr:blipFill>
      <xdr:spPr>
        <a:xfrm>
          <a:off x="5050155" y="28620720"/>
          <a:ext cx="3489960" cy="2522220"/>
        </a:xfrm>
        <a:prstGeom prst="rect">
          <a:avLst/>
        </a:prstGeom>
      </xdr:spPr>
    </xdr:pic>
    <xdr:clientData/>
  </xdr:twoCellAnchor>
  <xdr:twoCellAnchor editAs="oneCell">
    <xdr:from>
      <xdr:col>0</xdr:col>
      <xdr:colOff>466725</xdr:colOff>
      <xdr:row>326</xdr:row>
      <xdr:rowOff>57150</xdr:rowOff>
    </xdr:from>
    <xdr:to>
      <xdr:col>4</xdr:col>
      <xdr:colOff>779145</xdr:colOff>
      <xdr:row>339</xdr:row>
      <xdr:rowOff>95250</xdr:rowOff>
    </xdr:to>
    <xdr:pic>
      <xdr:nvPicPr>
        <xdr:cNvPr id="40" name="Imagen 39">
          <a:extLst>
            <a:ext uri="{FF2B5EF4-FFF2-40B4-BE49-F238E27FC236}">
              <a16:creationId xmlns:a16="http://schemas.microsoft.com/office/drawing/2014/main" id="{A3A00DB8-F51D-4764-AD12-842DB3D167A2}"/>
            </a:ext>
          </a:extLst>
        </xdr:cNvPr>
        <xdr:cNvPicPr>
          <a:picLocks noChangeAspect="1"/>
        </xdr:cNvPicPr>
      </xdr:nvPicPr>
      <xdr:blipFill>
        <a:blip xmlns:r="http://schemas.openxmlformats.org/officeDocument/2006/relationships" r:embed="rId35"/>
        <a:stretch>
          <a:fillRect/>
        </a:stretch>
      </xdr:blipFill>
      <xdr:spPr>
        <a:xfrm>
          <a:off x="466725" y="31680150"/>
          <a:ext cx="3482340" cy="2415540"/>
        </a:xfrm>
        <a:prstGeom prst="rect">
          <a:avLst/>
        </a:prstGeom>
      </xdr:spPr>
    </xdr:pic>
    <xdr:clientData/>
  </xdr:twoCellAnchor>
  <xdr:twoCellAnchor editAs="oneCell">
    <xdr:from>
      <xdr:col>6</xdr:col>
      <xdr:colOff>361950</xdr:colOff>
      <xdr:row>326</xdr:row>
      <xdr:rowOff>76200</xdr:rowOff>
    </xdr:from>
    <xdr:to>
      <xdr:col>10</xdr:col>
      <xdr:colOff>102870</xdr:colOff>
      <xdr:row>339</xdr:row>
      <xdr:rowOff>121920</xdr:rowOff>
    </xdr:to>
    <xdr:pic>
      <xdr:nvPicPr>
        <xdr:cNvPr id="41" name="Imagen 40">
          <a:extLst>
            <a:ext uri="{FF2B5EF4-FFF2-40B4-BE49-F238E27FC236}">
              <a16:creationId xmlns:a16="http://schemas.microsoft.com/office/drawing/2014/main" id="{9BCFAED6-C0D5-41F6-8E58-DC1A64220AA5}"/>
            </a:ext>
          </a:extLst>
        </xdr:cNvPr>
        <xdr:cNvPicPr>
          <a:picLocks noChangeAspect="1"/>
        </xdr:cNvPicPr>
      </xdr:nvPicPr>
      <xdr:blipFill>
        <a:blip xmlns:r="http://schemas.openxmlformats.org/officeDocument/2006/relationships" r:embed="rId36"/>
        <a:stretch>
          <a:fillRect/>
        </a:stretch>
      </xdr:blipFill>
      <xdr:spPr>
        <a:xfrm>
          <a:off x="4964430" y="31699200"/>
          <a:ext cx="3489960" cy="2423160"/>
        </a:xfrm>
        <a:prstGeom prst="rect">
          <a:avLst/>
        </a:prstGeom>
      </xdr:spPr>
    </xdr:pic>
    <xdr:clientData/>
  </xdr:twoCellAnchor>
  <xdr:twoCellAnchor editAs="oneCell">
    <xdr:from>
      <xdr:col>0</xdr:col>
      <xdr:colOff>390525</xdr:colOff>
      <xdr:row>486</xdr:row>
      <xdr:rowOff>76200</xdr:rowOff>
    </xdr:from>
    <xdr:to>
      <xdr:col>4</xdr:col>
      <xdr:colOff>702945</xdr:colOff>
      <xdr:row>499</xdr:row>
      <xdr:rowOff>121920</xdr:rowOff>
    </xdr:to>
    <xdr:pic>
      <xdr:nvPicPr>
        <xdr:cNvPr id="42" name="Imagen 41">
          <a:extLst>
            <a:ext uri="{FF2B5EF4-FFF2-40B4-BE49-F238E27FC236}">
              <a16:creationId xmlns:a16="http://schemas.microsoft.com/office/drawing/2014/main" id="{52BD035C-FFB3-4975-85BE-8E1EAB658C9E}"/>
            </a:ext>
          </a:extLst>
        </xdr:cNvPr>
        <xdr:cNvPicPr>
          <a:picLocks noChangeAspect="1"/>
        </xdr:cNvPicPr>
      </xdr:nvPicPr>
      <xdr:blipFill>
        <a:blip xmlns:r="http://schemas.openxmlformats.org/officeDocument/2006/relationships" r:embed="rId37"/>
        <a:stretch>
          <a:fillRect/>
        </a:stretch>
      </xdr:blipFill>
      <xdr:spPr>
        <a:xfrm>
          <a:off x="390525" y="55656480"/>
          <a:ext cx="3482340" cy="2423160"/>
        </a:xfrm>
        <a:prstGeom prst="rect">
          <a:avLst/>
        </a:prstGeom>
      </xdr:spPr>
    </xdr:pic>
    <xdr:clientData/>
  </xdr:twoCellAnchor>
  <xdr:twoCellAnchor editAs="oneCell">
    <xdr:from>
      <xdr:col>6</xdr:col>
      <xdr:colOff>342900</xdr:colOff>
      <xdr:row>486</xdr:row>
      <xdr:rowOff>66675</xdr:rowOff>
    </xdr:from>
    <xdr:to>
      <xdr:col>10</xdr:col>
      <xdr:colOff>76200</xdr:colOff>
      <xdr:row>499</xdr:row>
      <xdr:rowOff>104775</xdr:rowOff>
    </xdr:to>
    <xdr:pic>
      <xdr:nvPicPr>
        <xdr:cNvPr id="43" name="Imagen 42">
          <a:extLst>
            <a:ext uri="{FF2B5EF4-FFF2-40B4-BE49-F238E27FC236}">
              <a16:creationId xmlns:a16="http://schemas.microsoft.com/office/drawing/2014/main" id="{F2C5CFC9-2237-41F4-AEDC-7998AE69A9B6}"/>
            </a:ext>
          </a:extLst>
        </xdr:cNvPr>
        <xdr:cNvPicPr>
          <a:picLocks noChangeAspect="1"/>
        </xdr:cNvPicPr>
      </xdr:nvPicPr>
      <xdr:blipFill>
        <a:blip xmlns:r="http://schemas.openxmlformats.org/officeDocument/2006/relationships" r:embed="rId38"/>
        <a:stretch>
          <a:fillRect/>
        </a:stretch>
      </xdr:blipFill>
      <xdr:spPr>
        <a:xfrm>
          <a:off x="4945380" y="55646955"/>
          <a:ext cx="3482340" cy="2415540"/>
        </a:xfrm>
        <a:prstGeom prst="rect">
          <a:avLst/>
        </a:prstGeom>
      </xdr:spPr>
    </xdr:pic>
    <xdr:clientData/>
  </xdr:twoCellAnchor>
  <xdr:twoCellAnchor editAs="oneCell">
    <xdr:from>
      <xdr:col>0</xdr:col>
      <xdr:colOff>419100</xdr:colOff>
      <xdr:row>502</xdr:row>
      <xdr:rowOff>95250</xdr:rowOff>
    </xdr:from>
    <xdr:to>
      <xdr:col>4</xdr:col>
      <xdr:colOff>731520</xdr:colOff>
      <xdr:row>515</xdr:row>
      <xdr:rowOff>140970</xdr:rowOff>
    </xdr:to>
    <xdr:pic>
      <xdr:nvPicPr>
        <xdr:cNvPr id="44" name="Imagen 43">
          <a:extLst>
            <a:ext uri="{FF2B5EF4-FFF2-40B4-BE49-F238E27FC236}">
              <a16:creationId xmlns:a16="http://schemas.microsoft.com/office/drawing/2014/main" id="{7E0B6989-3803-4DF4-8945-E73F40DEADAE}"/>
            </a:ext>
          </a:extLst>
        </xdr:cNvPr>
        <xdr:cNvPicPr>
          <a:picLocks noChangeAspect="1"/>
        </xdr:cNvPicPr>
      </xdr:nvPicPr>
      <xdr:blipFill>
        <a:blip xmlns:r="http://schemas.openxmlformats.org/officeDocument/2006/relationships" r:embed="rId39"/>
        <a:stretch>
          <a:fillRect/>
        </a:stretch>
      </xdr:blipFill>
      <xdr:spPr>
        <a:xfrm>
          <a:off x="419100" y="58616850"/>
          <a:ext cx="3482340" cy="2423160"/>
        </a:xfrm>
        <a:prstGeom prst="rect">
          <a:avLst/>
        </a:prstGeom>
      </xdr:spPr>
    </xdr:pic>
    <xdr:clientData/>
  </xdr:twoCellAnchor>
  <xdr:twoCellAnchor editAs="oneCell">
    <xdr:from>
      <xdr:col>6</xdr:col>
      <xdr:colOff>371475</xdr:colOff>
      <xdr:row>502</xdr:row>
      <xdr:rowOff>76200</xdr:rowOff>
    </xdr:from>
    <xdr:to>
      <xdr:col>10</xdr:col>
      <xdr:colOff>112395</xdr:colOff>
      <xdr:row>515</xdr:row>
      <xdr:rowOff>121920</xdr:rowOff>
    </xdr:to>
    <xdr:pic>
      <xdr:nvPicPr>
        <xdr:cNvPr id="45" name="Imagen 44">
          <a:extLst>
            <a:ext uri="{FF2B5EF4-FFF2-40B4-BE49-F238E27FC236}">
              <a16:creationId xmlns:a16="http://schemas.microsoft.com/office/drawing/2014/main" id="{2F69C178-426B-4111-9336-0A10E91BEC00}"/>
            </a:ext>
          </a:extLst>
        </xdr:cNvPr>
        <xdr:cNvPicPr>
          <a:picLocks noChangeAspect="1"/>
        </xdr:cNvPicPr>
      </xdr:nvPicPr>
      <xdr:blipFill>
        <a:blip xmlns:r="http://schemas.openxmlformats.org/officeDocument/2006/relationships" r:embed="rId40"/>
        <a:stretch>
          <a:fillRect/>
        </a:stretch>
      </xdr:blipFill>
      <xdr:spPr>
        <a:xfrm>
          <a:off x="4973955" y="58597800"/>
          <a:ext cx="3489960" cy="2423160"/>
        </a:xfrm>
        <a:prstGeom prst="rect">
          <a:avLst/>
        </a:prstGeom>
      </xdr:spPr>
    </xdr:pic>
    <xdr:clientData/>
  </xdr:twoCellAnchor>
  <xdr:twoCellAnchor editAs="oneCell">
    <xdr:from>
      <xdr:col>0</xdr:col>
      <xdr:colOff>409575</xdr:colOff>
      <xdr:row>550</xdr:row>
      <xdr:rowOff>57150</xdr:rowOff>
    </xdr:from>
    <xdr:to>
      <xdr:col>4</xdr:col>
      <xdr:colOff>721995</xdr:colOff>
      <xdr:row>563</xdr:row>
      <xdr:rowOff>102870</xdr:rowOff>
    </xdr:to>
    <xdr:pic>
      <xdr:nvPicPr>
        <xdr:cNvPr id="46" name="Imagen 45">
          <a:extLst>
            <a:ext uri="{FF2B5EF4-FFF2-40B4-BE49-F238E27FC236}">
              <a16:creationId xmlns:a16="http://schemas.microsoft.com/office/drawing/2014/main" id="{AB6BDC86-C0A0-446E-A24A-62CB9F9C8B8E}"/>
            </a:ext>
          </a:extLst>
        </xdr:cNvPr>
        <xdr:cNvPicPr>
          <a:picLocks noChangeAspect="1"/>
        </xdr:cNvPicPr>
      </xdr:nvPicPr>
      <xdr:blipFill>
        <a:blip xmlns:r="http://schemas.openxmlformats.org/officeDocument/2006/relationships" r:embed="rId41"/>
        <a:stretch>
          <a:fillRect/>
        </a:stretch>
      </xdr:blipFill>
      <xdr:spPr>
        <a:xfrm>
          <a:off x="409575" y="67669410"/>
          <a:ext cx="3482340" cy="2423160"/>
        </a:xfrm>
        <a:prstGeom prst="rect">
          <a:avLst/>
        </a:prstGeom>
      </xdr:spPr>
    </xdr:pic>
    <xdr:clientData/>
  </xdr:twoCellAnchor>
  <xdr:twoCellAnchor editAs="oneCell">
    <xdr:from>
      <xdr:col>6</xdr:col>
      <xdr:colOff>409575</xdr:colOff>
      <xdr:row>550</xdr:row>
      <xdr:rowOff>57150</xdr:rowOff>
    </xdr:from>
    <xdr:to>
      <xdr:col>10</xdr:col>
      <xdr:colOff>142875</xdr:colOff>
      <xdr:row>563</xdr:row>
      <xdr:rowOff>95250</xdr:rowOff>
    </xdr:to>
    <xdr:pic>
      <xdr:nvPicPr>
        <xdr:cNvPr id="47" name="Imagen 46">
          <a:extLst>
            <a:ext uri="{FF2B5EF4-FFF2-40B4-BE49-F238E27FC236}">
              <a16:creationId xmlns:a16="http://schemas.microsoft.com/office/drawing/2014/main" id="{571F9FDD-1611-4DD6-B448-FC7CE1FDF8F2}"/>
            </a:ext>
          </a:extLst>
        </xdr:cNvPr>
        <xdr:cNvPicPr>
          <a:picLocks noChangeAspect="1"/>
        </xdr:cNvPicPr>
      </xdr:nvPicPr>
      <xdr:blipFill>
        <a:blip xmlns:r="http://schemas.openxmlformats.org/officeDocument/2006/relationships" r:embed="rId42"/>
        <a:stretch>
          <a:fillRect/>
        </a:stretch>
      </xdr:blipFill>
      <xdr:spPr>
        <a:xfrm>
          <a:off x="5012055" y="67669410"/>
          <a:ext cx="3482340" cy="2415540"/>
        </a:xfrm>
        <a:prstGeom prst="rect">
          <a:avLst/>
        </a:prstGeom>
      </xdr:spPr>
    </xdr:pic>
    <xdr:clientData/>
  </xdr:twoCellAnchor>
  <xdr:twoCellAnchor editAs="oneCell">
    <xdr:from>
      <xdr:col>0</xdr:col>
      <xdr:colOff>352425</xdr:colOff>
      <xdr:row>566</xdr:row>
      <xdr:rowOff>114300</xdr:rowOff>
    </xdr:from>
    <xdr:to>
      <xdr:col>4</xdr:col>
      <xdr:colOff>664845</xdr:colOff>
      <xdr:row>579</xdr:row>
      <xdr:rowOff>152400</xdr:rowOff>
    </xdr:to>
    <xdr:pic>
      <xdr:nvPicPr>
        <xdr:cNvPr id="48" name="Imagen 47">
          <a:extLst>
            <a:ext uri="{FF2B5EF4-FFF2-40B4-BE49-F238E27FC236}">
              <a16:creationId xmlns:a16="http://schemas.microsoft.com/office/drawing/2014/main" id="{77956E72-C786-4E02-BA76-49C258305FAA}"/>
            </a:ext>
          </a:extLst>
        </xdr:cNvPr>
        <xdr:cNvPicPr>
          <a:picLocks noChangeAspect="1"/>
        </xdr:cNvPicPr>
      </xdr:nvPicPr>
      <xdr:blipFill>
        <a:blip xmlns:r="http://schemas.openxmlformats.org/officeDocument/2006/relationships" r:embed="rId43"/>
        <a:stretch>
          <a:fillRect/>
        </a:stretch>
      </xdr:blipFill>
      <xdr:spPr>
        <a:xfrm>
          <a:off x="352425" y="70667880"/>
          <a:ext cx="3482340" cy="2415540"/>
        </a:xfrm>
        <a:prstGeom prst="rect">
          <a:avLst/>
        </a:prstGeom>
      </xdr:spPr>
    </xdr:pic>
    <xdr:clientData/>
  </xdr:twoCellAnchor>
  <xdr:twoCellAnchor editAs="oneCell">
    <xdr:from>
      <xdr:col>6</xdr:col>
      <xdr:colOff>342900</xdr:colOff>
      <xdr:row>566</xdr:row>
      <xdr:rowOff>95250</xdr:rowOff>
    </xdr:from>
    <xdr:to>
      <xdr:col>10</xdr:col>
      <xdr:colOff>83820</xdr:colOff>
      <xdr:row>579</xdr:row>
      <xdr:rowOff>133350</xdr:rowOff>
    </xdr:to>
    <xdr:pic>
      <xdr:nvPicPr>
        <xdr:cNvPr id="49" name="Imagen 48">
          <a:extLst>
            <a:ext uri="{FF2B5EF4-FFF2-40B4-BE49-F238E27FC236}">
              <a16:creationId xmlns:a16="http://schemas.microsoft.com/office/drawing/2014/main" id="{7EE51E93-7892-4E80-891F-FEFEBE1667AA}"/>
            </a:ext>
          </a:extLst>
        </xdr:cNvPr>
        <xdr:cNvPicPr>
          <a:picLocks noChangeAspect="1"/>
        </xdr:cNvPicPr>
      </xdr:nvPicPr>
      <xdr:blipFill>
        <a:blip xmlns:r="http://schemas.openxmlformats.org/officeDocument/2006/relationships" r:embed="rId44"/>
        <a:stretch>
          <a:fillRect/>
        </a:stretch>
      </xdr:blipFill>
      <xdr:spPr>
        <a:xfrm>
          <a:off x="4945380" y="70648830"/>
          <a:ext cx="3489960" cy="2415540"/>
        </a:xfrm>
        <a:prstGeom prst="rect">
          <a:avLst/>
        </a:prstGeom>
      </xdr:spPr>
    </xdr:pic>
    <xdr:clientData/>
  </xdr:twoCellAnchor>
  <xdr:twoCellAnchor editAs="oneCell">
    <xdr:from>
      <xdr:col>0</xdr:col>
      <xdr:colOff>447675</xdr:colOff>
      <xdr:row>342</xdr:row>
      <xdr:rowOff>66675</xdr:rowOff>
    </xdr:from>
    <xdr:to>
      <xdr:col>4</xdr:col>
      <xdr:colOff>752475</xdr:colOff>
      <xdr:row>355</xdr:row>
      <xdr:rowOff>104775</xdr:rowOff>
    </xdr:to>
    <xdr:pic>
      <xdr:nvPicPr>
        <xdr:cNvPr id="50" name="Imagen 49">
          <a:extLst>
            <a:ext uri="{FF2B5EF4-FFF2-40B4-BE49-F238E27FC236}">
              <a16:creationId xmlns:a16="http://schemas.microsoft.com/office/drawing/2014/main" id="{40E1D575-4E0F-4821-A7F6-9A3A85742194}"/>
            </a:ext>
          </a:extLst>
        </xdr:cNvPr>
        <xdr:cNvPicPr>
          <a:picLocks noChangeAspect="1"/>
        </xdr:cNvPicPr>
      </xdr:nvPicPr>
      <xdr:blipFill>
        <a:blip xmlns:r="http://schemas.openxmlformats.org/officeDocument/2006/relationships" r:embed="rId45"/>
        <a:stretch>
          <a:fillRect/>
        </a:stretch>
      </xdr:blipFill>
      <xdr:spPr>
        <a:xfrm>
          <a:off x="447675" y="34630995"/>
          <a:ext cx="3474720" cy="2415540"/>
        </a:xfrm>
        <a:prstGeom prst="rect">
          <a:avLst/>
        </a:prstGeom>
      </xdr:spPr>
    </xdr:pic>
    <xdr:clientData/>
  </xdr:twoCellAnchor>
  <xdr:twoCellAnchor editAs="oneCell">
    <xdr:from>
      <xdr:col>6</xdr:col>
      <xdr:colOff>428625</xdr:colOff>
      <xdr:row>342</xdr:row>
      <xdr:rowOff>95250</xdr:rowOff>
    </xdr:from>
    <xdr:to>
      <xdr:col>10</xdr:col>
      <xdr:colOff>131445</xdr:colOff>
      <xdr:row>355</xdr:row>
      <xdr:rowOff>110490</xdr:rowOff>
    </xdr:to>
    <xdr:pic>
      <xdr:nvPicPr>
        <xdr:cNvPr id="51" name="Imagen 50">
          <a:extLst>
            <a:ext uri="{FF2B5EF4-FFF2-40B4-BE49-F238E27FC236}">
              <a16:creationId xmlns:a16="http://schemas.microsoft.com/office/drawing/2014/main" id="{1CC60748-B5F7-42B5-85A8-17682263B98B}"/>
            </a:ext>
          </a:extLst>
        </xdr:cNvPr>
        <xdr:cNvPicPr>
          <a:picLocks noChangeAspect="1"/>
        </xdr:cNvPicPr>
      </xdr:nvPicPr>
      <xdr:blipFill>
        <a:blip xmlns:r="http://schemas.openxmlformats.org/officeDocument/2006/relationships" r:embed="rId46"/>
        <a:stretch>
          <a:fillRect/>
        </a:stretch>
      </xdr:blipFill>
      <xdr:spPr>
        <a:xfrm>
          <a:off x="5031105" y="34659570"/>
          <a:ext cx="3451860" cy="2392680"/>
        </a:xfrm>
        <a:prstGeom prst="rect">
          <a:avLst/>
        </a:prstGeom>
      </xdr:spPr>
    </xdr:pic>
    <xdr:clientData/>
  </xdr:twoCellAnchor>
  <xdr:twoCellAnchor editAs="oneCell">
    <xdr:from>
      <xdr:col>0</xdr:col>
      <xdr:colOff>409575</xdr:colOff>
      <xdr:row>358</xdr:row>
      <xdr:rowOff>66675</xdr:rowOff>
    </xdr:from>
    <xdr:to>
      <xdr:col>4</xdr:col>
      <xdr:colOff>630555</xdr:colOff>
      <xdr:row>371</xdr:row>
      <xdr:rowOff>36195</xdr:rowOff>
    </xdr:to>
    <xdr:pic>
      <xdr:nvPicPr>
        <xdr:cNvPr id="52" name="Imagen 51">
          <a:extLst>
            <a:ext uri="{FF2B5EF4-FFF2-40B4-BE49-F238E27FC236}">
              <a16:creationId xmlns:a16="http://schemas.microsoft.com/office/drawing/2014/main" id="{ACA92458-569C-46B8-A636-8EA764FD61F7}"/>
            </a:ext>
          </a:extLst>
        </xdr:cNvPr>
        <xdr:cNvPicPr>
          <a:picLocks noChangeAspect="1"/>
        </xdr:cNvPicPr>
      </xdr:nvPicPr>
      <xdr:blipFill>
        <a:blip xmlns:r="http://schemas.openxmlformats.org/officeDocument/2006/relationships" r:embed="rId47"/>
        <a:stretch>
          <a:fillRect/>
        </a:stretch>
      </xdr:blipFill>
      <xdr:spPr>
        <a:xfrm>
          <a:off x="409575" y="37778055"/>
          <a:ext cx="3390900" cy="2346960"/>
        </a:xfrm>
        <a:prstGeom prst="rect">
          <a:avLst/>
        </a:prstGeom>
      </xdr:spPr>
    </xdr:pic>
    <xdr:clientData/>
  </xdr:twoCellAnchor>
  <xdr:twoCellAnchor editAs="oneCell">
    <xdr:from>
      <xdr:col>6</xdr:col>
      <xdr:colOff>447675</xdr:colOff>
      <xdr:row>358</xdr:row>
      <xdr:rowOff>104775</xdr:rowOff>
    </xdr:from>
    <xdr:to>
      <xdr:col>10</xdr:col>
      <xdr:colOff>89535</xdr:colOff>
      <xdr:row>371</xdr:row>
      <xdr:rowOff>74295</xdr:rowOff>
    </xdr:to>
    <xdr:pic>
      <xdr:nvPicPr>
        <xdr:cNvPr id="53" name="Imagen 52">
          <a:extLst>
            <a:ext uri="{FF2B5EF4-FFF2-40B4-BE49-F238E27FC236}">
              <a16:creationId xmlns:a16="http://schemas.microsoft.com/office/drawing/2014/main" id="{895DF2C8-32E4-4F85-BA57-12F33CEFB72B}"/>
            </a:ext>
          </a:extLst>
        </xdr:cNvPr>
        <xdr:cNvPicPr>
          <a:picLocks noChangeAspect="1"/>
        </xdr:cNvPicPr>
      </xdr:nvPicPr>
      <xdr:blipFill>
        <a:blip xmlns:r="http://schemas.openxmlformats.org/officeDocument/2006/relationships" r:embed="rId48"/>
        <a:stretch>
          <a:fillRect/>
        </a:stretch>
      </xdr:blipFill>
      <xdr:spPr>
        <a:xfrm>
          <a:off x="5050155" y="37816155"/>
          <a:ext cx="3390900" cy="2346960"/>
        </a:xfrm>
        <a:prstGeom prst="rect">
          <a:avLst/>
        </a:prstGeom>
      </xdr:spPr>
    </xdr:pic>
    <xdr:clientData/>
  </xdr:twoCellAnchor>
  <xdr:twoCellAnchor editAs="oneCell">
    <xdr:from>
      <xdr:col>0</xdr:col>
      <xdr:colOff>400050</xdr:colOff>
      <xdr:row>390</xdr:row>
      <xdr:rowOff>104775</xdr:rowOff>
    </xdr:from>
    <xdr:to>
      <xdr:col>4</xdr:col>
      <xdr:colOff>621030</xdr:colOff>
      <xdr:row>403</xdr:row>
      <xdr:rowOff>81915</xdr:rowOff>
    </xdr:to>
    <xdr:pic>
      <xdr:nvPicPr>
        <xdr:cNvPr id="54" name="Imagen 53">
          <a:extLst>
            <a:ext uri="{FF2B5EF4-FFF2-40B4-BE49-F238E27FC236}">
              <a16:creationId xmlns:a16="http://schemas.microsoft.com/office/drawing/2014/main" id="{83F97955-59D2-435F-8547-AB5B53346D35}"/>
            </a:ext>
          </a:extLst>
        </xdr:cNvPr>
        <xdr:cNvPicPr>
          <a:picLocks noChangeAspect="1"/>
        </xdr:cNvPicPr>
      </xdr:nvPicPr>
      <xdr:blipFill>
        <a:blip xmlns:r="http://schemas.openxmlformats.org/officeDocument/2006/relationships" r:embed="rId49"/>
        <a:stretch>
          <a:fillRect/>
        </a:stretch>
      </xdr:blipFill>
      <xdr:spPr>
        <a:xfrm>
          <a:off x="400050" y="43790235"/>
          <a:ext cx="3390900" cy="2354580"/>
        </a:xfrm>
        <a:prstGeom prst="rect">
          <a:avLst/>
        </a:prstGeom>
      </xdr:spPr>
    </xdr:pic>
    <xdr:clientData/>
  </xdr:twoCellAnchor>
  <xdr:twoCellAnchor editAs="oneCell">
    <xdr:from>
      <xdr:col>6</xdr:col>
      <xdr:colOff>419100</xdr:colOff>
      <xdr:row>390</xdr:row>
      <xdr:rowOff>114300</xdr:rowOff>
    </xdr:from>
    <xdr:to>
      <xdr:col>10</xdr:col>
      <xdr:colOff>68580</xdr:colOff>
      <xdr:row>403</xdr:row>
      <xdr:rowOff>91440</xdr:rowOff>
    </xdr:to>
    <xdr:pic>
      <xdr:nvPicPr>
        <xdr:cNvPr id="55" name="Imagen 54">
          <a:extLst>
            <a:ext uri="{FF2B5EF4-FFF2-40B4-BE49-F238E27FC236}">
              <a16:creationId xmlns:a16="http://schemas.microsoft.com/office/drawing/2014/main" id="{57FC688C-BBC4-4446-ABB1-79C134116520}"/>
            </a:ext>
          </a:extLst>
        </xdr:cNvPr>
        <xdr:cNvPicPr>
          <a:picLocks noChangeAspect="1"/>
        </xdr:cNvPicPr>
      </xdr:nvPicPr>
      <xdr:blipFill>
        <a:blip xmlns:r="http://schemas.openxmlformats.org/officeDocument/2006/relationships" r:embed="rId50"/>
        <a:stretch>
          <a:fillRect/>
        </a:stretch>
      </xdr:blipFill>
      <xdr:spPr>
        <a:xfrm>
          <a:off x="5021580" y="43799760"/>
          <a:ext cx="3398520" cy="2354580"/>
        </a:xfrm>
        <a:prstGeom prst="rect">
          <a:avLst/>
        </a:prstGeom>
      </xdr:spPr>
    </xdr:pic>
    <xdr:clientData/>
  </xdr:twoCellAnchor>
  <xdr:twoCellAnchor editAs="oneCell">
    <xdr:from>
      <xdr:col>0</xdr:col>
      <xdr:colOff>323850</xdr:colOff>
      <xdr:row>422</xdr:row>
      <xdr:rowOff>95250</xdr:rowOff>
    </xdr:from>
    <xdr:to>
      <xdr:col>4</xdr:col>
      <xdr:colOff>628650</xdr:colOff>
      <xdr:row>435</xdr:row>
      <xdr:rowOff>133350</xdr:rowOff>
    </xdr:to>
    <xdr:pic>
      <xdr:nvPicPr>
        <xdr:cNvPr id="56" name="Imagen 55">
          <a:extLst>
            <a:ext uri="{FF2B5EF4-FFF2-40B4-BE49-F238E27FC236}">
              <a16:creationId xmlns:a16="http://schemas.microsoft.com/office/drawing/2014/main" id="{008DAA12-AC2E-4F73-8190-9A18604715A2}"/>
            </a:ext>
          </a:extLst>
        </xdr:cNvPr>
        <xdr:cNvPicPr>
          <a:picLocks noChangeAspect="1"/>
        </xdr:cNvPicPr>
      </xdr:nvPicPr>
      <xdr:blipFill>
        <a:blip xmlns:r="http://schemas.openxmlformats.org/officeDocument/2006/relationships" r:embed="rId51"/>
        <a:stretch>
          <a:fillRect/>
        </a:stretch>
      </xdr:blipFill>
      <xdr:spPr>
        <a:xfrm>
          <a:off x="323850" y="46722030"/>
          <a:ext cx="3474720" cy="2415540"/>
        </a:xfrm>
        <a:prstGeom prst="rect">
          <a:avLst/>
        </a:prstGeom>
      </xdr:spPr>
    </xdr:pic>
    <xdr:clientData/>
  </xdr:twoCellAnchor>
  <xdr:twoCellAnchor editAs="oneCell">
    <xdr:from>
      <xdr:col>6</xdr:col>
      <xdr:colOff>428625</xdr:colOff>
      <xdr:row>422</xdr:row>
      <xdr:rowOff>85725</xdr:rowOff>
    </xdr:from>
    <xdr:to>
      <xdr:col>10</xdr:col>
      <xdr:colOff>78105</xdr:colOff>
      <xdr:row>435</xdr:row>
      <xdr:rowOff>62865</xdr:rowOff>
    </xdr:to>
    <xdr:pic>
      <xdr:nvPicPr>
        <xdr:cNvPr id="57" name="Imagen 56">
          <a:extLst>
            <a:ext uri="{FF2B5EF4-FFF2-40B4-BE49-F238E27FC236}">
              <a16:creationId xmlns:a16="http://schemas.microsoft.com/office/drawing/2014/main" id="{2C1C86FD-EFD7-4AA6-AD2F-2716CF69F99E}"/>
            </a:ext>
          </a:extLst>
        </xdr:cNvPr>
        <xdr:cNvPicPr>
          <a:picLocks noChangeAspect="1"/>
        </xdr:cNvPicPr>
      </xdr:nvPicPr>
      <xdr:blipFill>
        <a:blip xmlns:r="http://schemas.openxmlformats.org/officeDocument/2006/relationships" r:embed="rId52"/>
        <a:stretch>
          <a:fillRect/>
        </a:stretch>
      </xdr:blipFill>
      <xdr:spPr>
        <a:xfrm>
          <a:off x="5031105" y="46712505"/>
          <a:ext cx="3398520" cy="2354580"/>
        </a:xfrm>
        <a:prstGeom prst="rect">
          <a:avLst/>
        </a:prstGeom>
      </xdr:spPr>
    </xdr:pic>
    <xdr:clientData/>
  </xdr:twoCellAnchor>
  <xdr:twoCellAnchor editAs="oneCell">
    <xdr:from>
      <xdr:col>0</xdr:col>
      <xdr:colOff>314325</xdr:colOff>
      <xdr:row>582</xdr:row>
      <xdr:rowOff>76200</xdr:rowOff>
    </xdr:from>
    <xdr:to>
      <xdr:col>4</xdr:col>
      <xdr:colOff>619125</xdr:colOff>
      <xdr:row>595</xdr:row>
      <xdr:rowOff>114300</xdr:rowOff>
    </xdr:to>
    <xdr:pic>
      <xdr:nvPicPr>
        <xdr:cNvPr id="58" name="Imagen 57">
          <a:extLst>
            <a:ext uri="{FF2B5EF4-FFF2-40B4-BE49-F238E27FC236}">
              <a16:creationId xmlns:a16="http://schemas.microsoft.com/office/drawing/2014/main" id="{EF52D0CE-BE33-4660-90BF-3A15F05D640C}"/>
            </a:ext>
          </a:extLst>
        </xdr:cNvPr>
        <xdr:cNvPicPr>
          <a:picLocks noChangeAspect="1"/>
        </xdr:cNvPicPr>
      </xdr:nvPicPr>
      <xdr:blipFill>
        <a:blip xmlns:r="http://schemas.openxmlformats.org/officeDocument/2006/relationships" r:embed="rId53"/>
        <a:stretch>
          <a:fillRect/>
        </a:stretch>
      </xdr:blipFill>
      <xdr:spPr>
        <a:xfrm>
          <a:off x="314325" y="73578720"/>
          <a:ext cx="3474720" cy="2415540"/>
        </a:xfrm>
        <a:prstGeom prst="rect">
          <a:avLst/>
        </a:prstGeom>
      </xdr:spPr>
    </xdr:pic>
    <xdr:clientData/>
  </xdr:twoCellAnchor>
  <xdr:twoCellAnchor editAs="oneCell">
    <xdr:from>
      <xdr:col>6</xdr:col>
      <xdr:colOff>314325</xdr:colOff>
      <xdr:row>582</xdr:row>
      <xdr:rowOff>47625</xdr:rowOff>
    </xdr:from>
    <xdr:to>
      <xdr:col>10</xdr:col>
      <xdr:colOff>47625</xdr:colOff>
      <xdr:row>595</xdr:row>
      <xdr:rowOff>85725</xdr:rowOff>
    </xdr:to>
    <xdr:pic>
      <xdr:nvPicPr>
        <xdr:cNvPr id="59" name="Imagen 58">
          <a:extLst>
            <a:ext uri="{FF2B5EF4-FFF2-40B4-BE49-F238E27FC236}">
              <a16:creationId xmlns:a16="http://schemas.microsoft.com/office/drawing/2014/main" id="{32B534A0-5B06-4252-86D3-1704A5B1474B}"/>
            </a:ext>
          </a:extLst>
        </xdr:cNvPr>
        <xdr:cNvPicPr>
          <a:picLocks noChangeAspect="1"/>
        </xdr:cNvPicPr>
      </xdr:nvPicPr>
      <xdr:blipFill>
        <a:blip xmlns:r="http://schemas.openxmlformats.org/officeDocument/2006/relationships" r:embed="rId54"/>
        <a:stretch>
          <a:fillRect/>
        </a:stretch>
      </xdr:blipFill>
      <xdr:spPr>
        <a:xfrm>
          <a:off x="4916805" y="73550145"/>
          <a:ext cx="348234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716616</xdr:colOff>
      <xdr:row>0</xdr:row>
      <xdr:rowOff>128818</xdr:rowOff>
    </xdr:from>
    <xdr:ext cx="843803" cy="299808"/>
    <xdr:pic>
      <xdr:nvPicPr>
        <xdr:cNvPr id="2" name="2 Imagen">
          <a:extLst>
            <a:ext uri="{FF2B5EF4-FFF2-40B4-BE49-F238E27FC236}">
              <a16:creationId xmlns:a16="http://schemas.microsoft.com/office/drawing/2014/main" id="{422CC7AB-2A38-4E01-A28E-99336442F3B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484956" y="128818"/>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C4EA51B8-72B1-41C9-975A-4FABA29DBE77}"/>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447675</xdr:colOff>
      <xdr:row>5</xdr:row>
      <xdr:rowOff>1</xdr:rowOff>
    </xdr:from>
    <xdr:to>
      <xdr:col>5</xdr:col>
      <xdr:colOff>590549</xdr:colOff>
      <xdr:row>18</xdr:row>
      <xdr:rowOff>168275</xdr:rowOff>
    </xdr:to>
    <xdr:pic>
      <xdr:nvPicPr>
        <xdr:cNvPr id="4" name="Imagen 3">
          <a:extLst>
            <a:ext uri="{FF2B5EF4-FFF2-40B4-BE49-F238E27FC236}">
              <a16:creationId xmlns:a16="http://schemas.microsoft.com/office/drawing/2014/main" id="{9E86834A-7631-4395-A25C-396D6945D57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rot="5400000">
          <a:off x="762635" y="1422401"/>
          <a:ext cx="2560954" cy="2047874"/>
        </a:xfrm>
        <a:prstGeom prst="rect">
          <a:avLst/>
        </a:prstGeom>
      </xdr:spPr>
    </xdr:pic>
    <xdr:clientData/>
  </xdr:twoCellAnchor>
  <xdr:twoCellAnchor editAs="oneCell">
    <xdr:from>
      <xdr:col>8</xdr:col>
      <xdr:colOff>49575</xdr:colOff>
      <xdr:row>5</xdr:row>
      <xdr:rowOff>41498</xdr:rowOff>
    </xdr:from>
    <xdr:to>
      <xdr:col>10</xdr:col>
      <xdr:colOff>35119</xdr:colOff>
      <xdr:row>18</xdr:row>
      <xdr:rowOff>152399</xdr:rowOff>
    </xdr:to>
    <xdr:pic>
      <xdr:nvPicPr>
        <xdr:cNvPr id="5" name="Imagen 4">
          <a:extLst>
            <a:ext uri="{FF2B5EF4-FFF2-40B4-BE49-F238E27FC236}">
              <a16:creationId xmlns:a16="http://schemas.microsoft.com/office/drawing/2014/main" id="{E778BF2E-657E-4671-A737-8D56B9CA3EF5}"/>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rot="16200000">
          <a:off x="4265526" y="1456727"/>
          <a:ext cx="2503581" cy="2004844"/>
        </a:xfrm>
        <a:prstGeom prst="rect">
          <a:avLst/>
        </a:prstGeom>
      </xdr:spPr>
    </xdr:pic>
    <xdr:clientData/>
  </xdr:twoCellAnchor>
  <xdr:twoCellAnchor editAs="oneCell">
    <xdr:from>
      <xdr:col>2</xdr:col>
      <xdr:colOff>447674</xdr:colOff>
      <xdr:row>21</xdr:row>
      <xdr:rowOff>16651</xdr:rowOff>
    </xdr:from>
    <xdr:to>
      <xdr:col>5</xdr:col>
      <xdr:colOff>571499</xdr:colOff>
      <xdr:row>34</xdr:row>
      <xdr:rowOff>159526</xdr:rowOff>
    </xdr:to>
    <xdr:pic>
      <xdr:nvPicPr>
        <xdr:cNvPr id="6" name="Imagen 5">
          <a:extLst>
            <a:ext uri="{FF2B5EF4-FFF2-40B4-BE49-F238E27FC236}">
              <a16:creationId xmlns:a16="http://schemas.microsoft.com/office/drawing/2014/main" id="{8AD203A3-8FA3-48A3-8482-26A5634925A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rot="5400000">
          <a:off x="765809" y="4438156"/>
          <a:ext cx="2535555" cy="2028825"/>
        </a:xfrm>
        <a:prstGeom prst="rect">
          <a:avLst/>
        </a:prstGeom>
      </xdr:spPr>
    </xdr:pic>
    <xdr:clientData/>
  </xdr:twoCellAnchor>
  <xdr:twoCellAnchor editAs="oneCell">
    <xdr:from>
      <xdr:col>8</xdr:col>
      <xdr:colOff>154800</xdr:colOff>
      <xdr:row>21</xdr:row>
      <xdr:rowOff>19050</xdr:rowOff>
    </xdr:from>
    <xdr:to>
      <xdr:col>10</xdr:col>
      <xdr:colOff>171450</xdr:colOff>
      <xdr:row>34</xdr:row>
      <xdr:rowOff>171425</xdr:rowOff>
    </xdr:to>
    <xdr:pic>
      <xdr:nvPicPr>
        <xdr:cNvPr id="7" name="Imagen 6">
          <a:extLst>
            <a:ext uri="{FF2B5EF4-FFF2-40B4-BE49-F238E27FC236}">
              <a16:creationId xmlns:a16="http://schemas.microsoft.com/office/drawing/2014/main" id="{60EE5C53-DDD8-4A07-AE81-C250DE65F4C9}"/>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rot="5400000">
          <a:off x="4365567" y="4441743"/>
          <a:ext cx="2545055" cy="2035950"/>
        </a:xfrm>
        <a:prstGeom prst="rect">
          <a:avLst/>
        </a:prstGeom>
      </xdr:spPr>
    </xdr:pic>
    <xdr:clientData/>
  </xdr:twoCellAnchor>
  <xdr:twoCellAnchor editAs="oneCell">
    <xdr:from>
      <xdr:col>2</xdr:col>
      <xdr:colOff>457199</xdr:colOff>
      <xdr:row>37</xdr:row>
      <xdr:rowOff>19050</xdr:rowOff>
    </xdr:from>
    <xdr:to>
      <xdr:col>5</xdr:col>
      <xdr:colOff>561974</xdr:colOff>
      <xdr:row>50</xdr:row>
      <xdr:rowOff>146050</xdr:rowOff>
    </xdr:to>
    <xdr:pic>
      <xdr:nvPicPr>
        <xdr:cNvPr id="8" name="Imagen 7">
          <a:extLst>
            <a:ext uri="{FF2B5EF4-FFF2-40B4-BE49-F238E27FC236}">
              <a16:creationId xmlns:a16="http://schemas.microsoft.com/office/drawing/2014/main" id="{804F3015-C6AC-434D-A6D6-57FDFBDCAE3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rot="5400000">
          <a:off x="781367" y="7436802"/>
          <a:ext cx="2504440" cy="2009775"/>
        </a:xfrm>
        <a:prstGeom prst="rect">
          <a:avLst/>
        </a:prstGeom>
      </xdr:spPr>
    </xdr:pic>
    <xdr:clientData/>
  </xdr:twoCellAnchor>
  <xdr:twoCellAnchor editAs="oneCell">
    <xdr:from>
      <xdr:col>8</xdr:col>
      <xdr:colOff>145199</xdr:colOff>
      <xdr:row>37</xdr:row>
      <xdr:rowOff>11851</xdr:rowOff>
    </xdr:from>
    <xdr:to>
      <xdr:col>10</xdr:col>
      <xdr:colOff>161924</xdr:colOff>
      <xdr:row>50</xdr:row>
      <xdr:rowOff>173851</xdr:rowOff>
    </xdr:to>
    <xdr:pic>
      <xdr:nvPicPr>
        <xdr:cNvPr id="9" name="Imagen 8">
          <a:extLst>
            <a:ext uri="{FF2B5EF4-FFF2-40B4-BE49-F238E27FC236}">
              <a16:creationId xmlns:a16="http://schemas.microsoft.com/office/drawing/2014/main" id="{B00D5422-15CD-411F-B60E-DA8A855EB156}"/>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rot="5400000">
          <a:off x="4358812" y="7433978"/>
          <a:ext cx="2539440" cy="2036025"/>
        </a:xfrm>
        <a:prstGeom prst="rect">
          <a:avLst/>
        </a:prstGeom>
      </xdr:spPr>
    </xdr:pic>
    <xdr:clientData/>
  </xdr:twoCellAnchor>
  <xdr:twoCellAnchor editAs="oneCell">
    <xdr:from>
      <xdr:col>2</xdr:col>
      <xdr:colOff>443109</xdr:colOff>
      <xdr:row>53</xdr:row>
      <xdr:rowOff>19053</xdr:rowOff>
    </xdr:from>
    <xdr:to>
      <xdr:col>5</xdr:col>
      <xdr:colOff>583933</xdr:colOff>
      <xdr:row>66</xdr:row>
      <xdr:rowOff>180978</xdr:rowOff>
    </xdr:to>
    <xdr:pic>
      <xdr:nvPicPr>
        <xdr:cNvPr id="10" name="Imagen 9">
          <a:extLst>
            <a:ext uri="{FF2B5EF4-FFF2-40B4-BE49-F238E27FC236}">
              <a16:creationId xmlns:a16="http://schemas.microsoft.com/office/drawing/2014/main" id="{E114819E-E177-495E-889B-4FD9DC1B5649}"/>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rot="5400000">
          <a:off x="767838" y="10385184"/>
          <a:ext cx="2539365" cy="2045824"/>
        </a:xfrm>
        <a:prstGeom prst="rect">
          <a:avLst/>
        </a:prstGeom>
      </xdr:spPr>
    </xdr:pic>
    <xdr:clientData/>
  </xdr:twoCellAnchor>
  <xdr:twoCellAnchor editAs="oneCell">
    <xdr:from>
      <xdr:col>8</xdr:col>
      <xdr:colOff>152400</xdr:colOff>
      <xdr:row>53</xdr:row>
      <xdr:rowOff>25297</xdr:rowOff>
    </xdr:from>
    <xdr:to>
      <xdr:col>10</xdr:col>
      <xdr:colOff>151730</xdr:colOff>
      <xdr:row>66</xdr:row>
      <xdr:rowOff>171452</xdr:rowOff>
    </xdr:to>
    <xdr:pic>
      <xdr:nvPicPr>
        <xdr:cNvPr id="11" name="Imagen 10">
          <a:extLst>
            <a:ext uri="{FF2B5EF4-FFF2-40B4-BE49-F238E27FC236}">
              <a16:creationId xmlns:a16="http://schemas.microsoft.com/office/drawing/2014/main" id="{6D1C8BD8-E6B8-40AA-A202-106D9B7BE561}"/>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rot="5400000">
          <a:off x="4365237" y="10397140"/>
          <a:ext cx="2523595" cy="2018630"/>
        </a:xfrm>
        <a:prstGeom prst="rect">
          <a:avLst/>
        </a:prstGeom>
      </xdr:spPr>
    </xdr:pic>
    <xdr:clientData/>
  </xdr:twoCellAnchor>
  <xdr:twoCellAnchor editAs="oneCell">
    <xdr:from>
      <xdr:col>1</xdr:col>
      <xdr:colOff>0</xdr:colOff>
      <xdr:row>69</xdr:row>
      <xdr:rowOff>9525</xdr:rowOff>
    </xdr:from>
    <xdr:to>
      <xdr:col>6</xdr:col>
      <xdr:colOff>542925</xdr:colOff>
      <xdr:row>82</xdr:row>
      <xdr:rowOff>161925</xdr:rowOff>
    </xdr:to>
    <xdr:pic>
      <xdr:nvPicPr>
        <xdr:cNvPr id="12" name="Imagen 11">
          <a:extLst>
            <a:ext uri="{FF2B5EF4-FFF2-40B4-BE49-F238E27FC236}">
              <a16:creationId xmlns:a16="http://schemas.microsoft.com/office/drawing/2014/main" id="{3C335D45-700D-4436-817D-8A0BEBF95469}"/>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251460" y="13077825"/>
          <a:ext cx="3590925" cy="2529840"/>
        </a:xfrm>
        <a:prstGeom prst="rect">
          <a:avLst/>
        </a:prstGeom>
      </xdr:spPr>
    </xdr:pic>
    <xdr:clientData/>
  </xdr:twoCellAnchor>
  <xdr:twoCellAnchor editAs="oneCell">
    <xdr:from>
      <xdr:col>8</xdr:col>
      <xdr:colOff>81320</xdr:colOff>
      <xdr:row>69</xdr:row>
      <xdr:rowOff>26971</xdr:rowOff>
    </xdr:from>
    <xdr:to>
      <xdr:col>10</xdr:col>
      <xdr:colOff>76199</xdr:colOff>
      <xdr:row>82</xdr:row>
      <xdr:rowOff>159843</xdr:rowOff>
    </xdr:to>
    <xdr:pic>
      <xdr:nvPicPr>
        <xdr:cNvPr id="13" name="Imagen 12">
          <a:extLst>
            <a:ext uri="{FF2B5EF4-FFF2-40B4-BE49-F238E27FC236}">
              <a16:creationId xmlns:a16="http://schemas.microsoft.com/office/drawing/2014/main" id="{23C43CDF-6CEE-41F9-8CEE-613623E0DC4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rot="5400000">
          <a:off x="4298574" y="13343337"/>
          <a:ext cx="2510312" cy="2014179"/>
        </a:xfrm>
        <a:prstGeom prst="rect">
          <a:avLst/>
        </a:prstGeom>
      </xdr:spPr>
    </xdr:pic>
    <xdr:clientData/>
  </xdr:twoCellAnchor>
  <xdr:twoCellAnchor editAs="oneCell">
    <xdr:from>
      <xdr:col>2</xdr:col>
      <xdr:colOff>301598</xdr:colOff>
      <xdr:row>85</xdr:row>
      <xdr:rowOff>15741</xdr:rowOff>
    </xdr:from>
    <xdr:to>
      <xdr:col>5</xdr:col>
      <xdr:colOff>438149</xdr:colOff>
      <xdr:row>98</xdr:row>
      <xdr:rowOff>171996</xdr:rowOff>
    </xdr:to>
    <xdr:pic>
      <xdr:nvPicPr>
        <xdr:cNvPr id="14" name="Imagen 13">
          <a:extLst>
            <a:ext uri="{FF2B5EF4-FFF2-40B4-BE49-F238E27FC236}">
              <a16:creationId xmlns:a16="http://schemas.microsoft.com/office/drawing/2014/main" id="{D5D74AB2-FBBB-432A-A585-83B39456ADD1}"/>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rot="5400000">
          <a:off x="627026" y="16279053"/>
          <a:ext cx="2533695" cy="2041551"/>
        </a:xfrm>
        <a:prstGeom prst="rect">
          <a:avLst/>
        </a:prstGeom>
      </xdr:spPr>
    </xdr:pic>
    <xdr:clientData/>
  </xdr:twoCellAnchor>
  <xdr:twoCellAnchor editAs="oneCell">
    <xdr:from>
      <xdr:col>7</xdr:col>
      <xdr:colOff>28575</xdr:colOff>
      <xdr:row>85</xdr:row>
      <xdr:rowOff>47625</xdr:rowOff>
    </xdr:from>
    <xdr:to>
      <xdr:col>11</xdr:col>
      <xdr:colOff>550042</xdr:colOff>
      <xdr:row>98</xdr:row>
      <xdr:rowOff>172166</xdr:rowOff>
    </xdr:to>
    <xdr:pic>
      <xdr:nvPicPr>
        <xdr:cNvPr id="15" name="Imagen 14">
          <a:extLst>
            <a:ext uri="{FF2B5EF4-FFF2-40B4-BE49-F238E27FC236}">
              <a16:creationId xmlns:a16="http://schemas.microsoft.com/office/drawing/2014/main" id="{402E37F7-1B18-4CF6-82CB-02EA361B2E1B}"/>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3907155" y="16064865"/>
          <a:ext cx="3561847" cy="250198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984854A0-FCCC-4B49-89AD-E6C2BF786E6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50997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18D2A77C-03A6-44D8-A7DD-0C65FA9AF7B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2</xdr:col>
      <xdr:colOff>72690</xdr:colOff>
      <xdr:row>8</xdr:row>
      <xdr:rowOff>237874</xdr:rowOff>
    </xdr:from>
    <xdr:to>
      <xdr:col>6</xdr:col>
      <xdr:colOff>1422735</xdr:colOff>
      <xdr:row>12</xdr:row>
      <xdr:rowOff>304800</xdr:rowOff>
    </xdr:to>
    <xdr:pic>
      <xdr:nvPicPr>
        <xdr:cNvPr id="4" name="Imagen 3">
          <a:extLst>
            <a:ext uri="{FF2B5EF4-FFF2-40B4-BE49-F238E27FC236}">
              <a16:creationId xmlns:a16="http://schemas.microsoft.com/office/drawing/2014/main" id="{ADD03632-1A4B-45B4-A318-AB10F79AB563}"/>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644190" y="2241934"/>
          <a:ext cx="4070385" cy="2581526"/>
        </a:xfrm>
        <a:prstGeom prst="rect">
          <a:avLst/>
        </a:prstGeom>
      </xdr:spPr>
    </xdr:pic>
    <xdr:clientData/>
  </xdr:twoCellAnchor>
  <xdr:twoCellAnchor editAs="oneCell">
    <xdr:from>
      <xdr:col>8</xdr:col>
      <xdr:colOff>315663</xdr:colOff>
      <xdr:row>5</xdr:row>
      <xdr:rowOff>53892</xdr:rowOff>
    </xdr:from>
    <xdr:to>
      <xdr:col>11</xdr:col>
      <xdr:colOff>427287</xdr:colOff>
      <xdr:row>9</xdr:row>
      <xdr:rowOff>512619</xdr:rowOff>
    </xdr:to>
    <xdr:pic>
      <xdr:nvPicPr>
        <xdr:cNvPr id="5" name="Imagen 4">
          <a:extLst>
            <a:ext uri="{FF2B5EF4-FFF2-40B4-BE49-F238E27FC236}">
              <a16:creationId xmlns:a16="http://schemas.microsoft.com/office/drawing/2014/main" id="{A78D4A7F-EEB7-4578-919A-896D1862C7A3}"/>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6068763" y="1478832"/>
          <a:ext cx="3464424" cy="2119887"/>
        </a:xfrm>
        <a:prstGeom prst="rect">
          <a:avLst/>
        </a:prstGeom>
      </xdr:spPr>
    </xdr:pic>
    <xdr:clientData/>
  </xdr:twoCellAnchor>
  <xdr:twoCellAnchor editAs="oneCell">
    <xdr:from>
      <xdr:col>8</xdr:col>
      <xdr:colOff>452269</xdr:colOff>
      <xdr:row>37</xdr:row>
      <xdr:rowOff>15121</xdr:rowOff>
    </xdr:from>
    <xdr:to>
      <xdr:col>11</xdr:col>
      <xdr:colOff>180975</xdr:colOff>
      <xdr:row>43</xdr:row>
      <xdr:rowOff>1139831</xdr:rowOff>
    </xdr:to>
    <xdr:pic>
      <xdr:nvPicPr>
        <xdr:cNvPr id="6" name="Imagen 5">
          <a:extLst>
            <a:ext uri="{FF2B5EF4-FFF2-40B4-BE49-F238E27FC236}">
              <a16:creationId xmlns:a16="http://schemas.microsoft.com/office/drawing/2014/main" id="{B4163AAB-B08C-4E0F-A984-101A29861CC1}"/>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6205369" y="12313801"/>
          <a:ext cx="3081506" cy="2275330"/>
        </a:xfrm>
        <a:prstGeom prst="rect">
          <a:avLst/>
        </a:prstGeom>
      </xdr:spPr>
    </xdr:pic>
    <xdr:clientData/>
  </xdr:twoCellAnchor>
  <xdr:twoCellAnchor editAs="oneCell">
    <xdr:from>
      <xdr:col>3</xdr:col>
      <xdr:colOff>28575</xdr:colOff>
      <xdr:row>37</xdr:row>
      <xdr:rowOff>60095</xdr:rowOff>
    </xdr:from>
    <xdr:to>
      <xdr:col>6</xdr:col>
      <xdr:colOff>885825</xdr:colOff>
      <xdr:row>43</xdr:row>
      <xdr:rowOff>1114989</xdr:rowOff>
    </xdr:to>
    <xdr:pic>
      <xdr:nvPicPr>
        <xdr:cNvPr id="7" name="Imagen 6">
          <a:extLst>
            <a:ext uri="{FF2B5EF4-FFF2-40B4-BE49-F238E27FC236}">
              <a16:creationId xmlns:a16="http://schemas.microsoft.com/office/drawing/2014/main" id="{94926672-B650-45A4-83DA-920BFC5A2C0C}"/>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1171575" y="12358775"/>
          <a:ext cx="3006090" cy="2205514"/>
        </a:xfrm>
        <a:prstGeom prst="rect">
          <a:avLst/>
        </a:prstGeom>
      </xdr:spPr>
    </xdr:pic>
    <xdr:clientData/>
  </xdr:twoCellAnchor>
  <xdr:twoCellAnchor editAs="oneCell">
    <xdr:from>
      <xdr:col>3</xdr:col>
      <xdr:colOff>25105</xdr:colOff>
      <xdr:row>43</xdr:row>
      <xdr:rowOff>1171545</xdr:rowOff>
    </xdr:from>
    <xdr:to>
      <xdr:col>6</xdr:col>
      <xdr:colOff>884192</xdr:colOff>
      <xdr:row>47</xdr:row>
      <xdr:rowOff>1151492</xdr:rowOff>
    </xdr:to>
    <xdr:pic>
      <xdr:nvPicPr>
        <xdr:cNvPr id="8" name="Imagen 7">
          <a:extLst>
            <a:ext uri="{FF2B5EF4-FFF2-40B4-BE49-F238E27FC236}">
              <a16:creationId xmlns:a16="http://schemas.microsoft.com/office/drawing/2014/main" id="{9CEE2283-D692-47F6-80BC-8D6C7D28FEFD}"/>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168105" y="14620845"/>
          <a:ext cx="3007927" cy="2204987"/>
        </a:xfrm>
        <a:prstGeom prst="rect">
          <a:avLst/>
        </a:prstGeom>
      </xdr:spPr>
    </xdr:pic>
    <xdr:clientData/>
  </xdr:twoCellAnchor>
  <xdr:twoCellAnchor editAs="oneCell">
    <xdr:from>
      <xdr:col>3</xdr:col>
      <xdr:colOff>130579</xdr:colOff>
      <xdr:row>110</xdr:row>
      <xdr:rowOff>200557</xdr:rowOff>
    </xdr:from>
    <xdr:to>
      <xdr:col>6</xdr:col>
      <xdr:colOff>907341</xdr:colOff>
      <xdr:row>113</xdr:row>
      <xdr:rowOff>403412</xdr:rowOff>
    </xdr:to>
    <xdr:pic>
      <xdr:nvPicPr>
        <xdr:cNvPr id="9" name="Imagen 8">
          <a:extLst>
            <a:ext uri="{FF2B5EF4-FFF2-40B4-BE49-F238E27FC236}">
              <a16:creationId xmlns:a16="http://schemas.microsoft.com/office/drawing/2014/main" id="{8357B2AD-4BAA-47C9-988D-B487B6844FF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273579" y="36334597"/>
          <a:ext cx="2925602" cy="2084995"/>
        </a:xfrm>
        <a:prstGeom prst="rect">
          <a:avLst/>
        </a:prstGeom>
      </xdr:spPr>
    </xdr:pic>
    <xdr:clientData/>
  </xdr:twoCellAnchor>
  <xdr:twoCellAnchor editAs="oneCell">
    <xdr:from>
      <xdr:col>3</xdr:col>
      <xdr:colOff>142875</xdr:colOff>
      <xdr:row>100</xdr:row>
      <xdr:rowOff>23743</xdr:rowOff>
    </xdr:from>
    <xdr:to>
      <xdr:col>6</xdr:col>
      <xdr:colOff>904968</xdr:colOff>
      <xdr:row>110</xdr:row>
      <xdr:rowOff>159544</xdr:rowOff>
    </xdr:to>
    <xdr:pic>
      <xdr:nvPicPr>
        <xdr:cNvPr id="10" name="Imagen 9">
          <a:extLst>
            <a:ext uri="{FF2B5EF4-FFF2-40B4-BE49-F238E27FC236}">
              <a16:creationId xmlns:a16="http://schemas.microsoft.com/office/drawing/2014/main" id="{E6FCF90A-41C3-47FA-A4B3-992C08320088}"/>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1285875" y="34222303"/>
          <a:ext cx="2910933" cy="2071281"/>
        </a:xfrm>
        <a:prstGeom prst="rect">
          <a:avLst/>
        </a:prstGeom>
      </xdr:spPr>
    </xdr:pic>
    <xdr:clientData/>
  </xdr:twoCellAnchor>
  <xdr:twoCellAnchor editAs="oneCell">
    <xdr:from>
      <xdr:col>2</xdr:col>
      <xdr:colOff>160105</xdr:colOff>
      <xdr:row>21</xdr:row>
      <xdr:rowOff>91471</xdr:rowOff>
    </xdr:from>
    <xdr:to>
      <xdr:col>6</xdr:col>
      <xdr:colOff>1476375</xdr:colOff>
      <xdr:row>27</xdr:row>
      <xdr:rowOff>1003941</xdr:rowOff>
    </xdr:to>
    <xdr:pic>
      <xdr:nvPicPr>
        <xdr:cNvPr id="11" name="Imagen 10">
          <a:extLst>
            <a:ext uri="{FF2B5EF4-FFF2-40B4-BE49-F238E27FC236}">
              <a16:creationId xmlns:a16="http://schemas.microsoft.com/office/drawing/2014/main" id="{F6D23B9A-BBE7-4555-B4F9-23EC0D7AE202}"/>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731605" y="7200931"/>
          <a:ext cx="4036610" cy="2063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153369</xdr:colOff>
      <xdr:row>27</xdr:row>
      <xdr:rowOff>1074486</xdr:rowOff>
    </xdr:from>
    <xdr:to>
      <xdr:col>6</xdr:col>
      <xdr:colOff>1467979</xdr:colOff>
      <xdr:row>30</xdr:row>
      <xdr:rowOff>28575</xdr:rowOff>
    </xdr:to>
    <xdr:pic>
      <xdr:nvPicPr>
        <xdr:cNvPr id="12" name="Imagen 11">
          <a:extLst>
            <a:ext uri="{FF2B5EF4-FFF2-40B4-BE49-F238E27FC236}">
              <a16:creationId xmlns:a16="http://schemas.microsoft.com/office/drawing/2014/main" id="{DE37D2E3-EFB1-4FF2-AE6B-52C2786280CD}"/>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724869" y="9334566"/>
          <a:ext cx="4034950" cy="2070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211725</xdr:colOff>
      <xdr:row>21</xdr:row>
      <xdr:rowOff>50147</xdr:rowOff>
    </xdr:from>
    <xdr:to>
      <xdr:col>11</xdr:col>
      <xdr:colOff>626476</xdr:colOff>
      <xdr:row>27</xdr:row>
      <xdr:rowOff>1064279</xdr:rowOff>
    </xdr:to>
    <xdr:pic>
      <xdr:nvPicPr>
        <xdr:cNvPr id="13" name="Imagen 12">
          <a:extLst>
            <a:ext uri="{FF2B5EF4-FFF2-40B4-BE49-F238E27FC236}">
              <a16:creationId xmlns:a16="http://schemas.microsoft.com/office/drawing/2014/main" id="{EB06698D-23EA-4B72-8ACA-9B87AFCB0273}"/>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5964825" y="7159607"/>
          <a:ext cx="3767551" cy="2164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38381</xdr:colOff>
      <xdr:row>27</xdr:row>
      <xdr:rowOff>1122112</xdr:rowOff>
    </xdr:from>
    <xdr:to>
      <xdr:col>11</xdr:col>
      <xdr:colOff>809344</xdr:colOff>
      <xdr:row>30</xdr:row>
      <xdr:rowOff>135189</xdr:rowOff>
    </xdr:to>
    <xdr:pic>
      <xdr:nvPicPr>
        <xdr:cNvPr id="14" name="Imagen 13">
          <a:extLst>
            <a:ext uri="{FF2B5EF4-FFF2-40B4-BE49-F238E27FC236}">
              <a16:creationId xmlns:a16="http://schemas.microsoft.com/office/drawing/2014/main" id="{38C5E438-5D8A-4D4D-B097-617C2915554B}"/>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5791481" y="9382192"/>
          <a:ext cx="4123763" cy="212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459629</xdr:colOff>
      <xdr:row>43</xdr:row>
      <xdr:rowOff>1181100</xdr:rowOff>
    </xdr:from>
    <xdr:to>
      <xdr:col>11</xdr:col>
      <xdr:colOff>206120</xdr:colOff>
      <xdr:row>48</xdr:row>
      <xdr:rowOff>0</xdr:rowOff>
    </xdr:to>
    <xdr:pic>
      <xdr:nvPicPr>
        <xdr:cNvPr id="15" name="Imagen 14">
          <a:extLst>
            <a:ext uri="{FF2B5EF4-FFF2-40B4-BE49-F238E27FC236}">
              <a16:creationId xmlns:a16="http://schemas.microsoft.com/office/drawing/2014/main" id="{CB98C69C-6D3C-4544-A141-32D91B820C33}"/>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6212729" y="14630400"/>
          <a:ext cx="3099291" cy="2240280"/>
        </a:xfrm>
        <a:prstGeom prst="rect">
          <a:avLst/>
        </a:prstGeom>
      </xdr:spPr>
    </xdr:pic>
    <xdr:clientData/>
  </xdr:twoCellAnchor>
  <xdr:twoCellAnchor editAs="oneCell">
    <xdr:from>
      <xdr:col>2</xdr:col>
      <xdr:colOff>266700</xdr:colOff>
      <xdr:row>53</xdr:row>
      <xdr:rowOff>38100</xdr:rowOff>
    </xdr:from>
    <xdr:to>
      <xdr:col>6</xdr:col>
      <xdr:colOff>1270529</xdr:colOff>
      <xdr:row>61</xdr:row>
      <xdr:rowOff>375184</xdr:rowOff>
    </xdr:to>
    <xdr:pic>
      <xdr:nvPicPr>
        <xdr:cNvPr id="16" name="Imagen 15">
          <a:extLst>
            <a:ext uri="{FF2B5EF4-FFF2-40B4-BE49-F238E27FC236}">
              <a16:creationId xmlns:a16="http://schemas.microsoft.com/office/drawing/2014/main" id="{363FDBDE-52CC-41CD-911C-B15DB50A93E1}"/>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838200" y="17807940"/>
          <a:ext cx="3724169" cy="1952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244281</xdr:colOff>
      <xdr:row>61</xdr:row>
      <xdr:rowOff>520352</xdr:rowOff>
    </xdr:from>
    <xdr:to>
      <xdr:col>6</xdr:col>
      <xdr:colOff>1276594</xdr:colOff>
      <xdr:row>63</xdr:row>
      <xdr:rowOff>1238251</xdr:rowOff>
    </xdr:to>
    <xdr:pic>
      <xdr:nvPicPr>
        <xdr:cNvPr id="17" name="Imagen 16">
          <a:extLst>
            <a:ext uri="{FF2B5EF4-FFF2-40B4-BE49-F238E27FC236}">
              <a16:creationId xmlns:a16="http://schemas.microsoft.com/office/drawing/2014/main" id="{4FA0D5F7-6AC9-4682-8602-8784ABB04ABE}"/>
            </a:ext>
          </a:extLst>
        </xdr:cNvPr>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815781" y="19905632"/>
          <a:ext cx="3752653" cy="1906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90891</xdr:colOff>
      <xdr:row>53</xdr:row>
      <xdr:rowOff>20015</xdr:rowOff>
    </xdr:from>
    <xdr:to>
      <xdr:col>11</xdr:col>
      <xdr:colOff>409575</xdr:colOff>
      <xdr:row>61</xdr:row>
      <xdr:rowOff>409802</xdr:rowOff>
    </xdr:to>
    <xdr:pic>
      <xdr:nvPicPr>
        <xdr:cNvPr id="18" name="Imagen 17">
          <a:extLst>
            <a:ext uri="{FF2B5EF4-FFF2-40B4-BE49-F238E27FC236}">
              <a16:creationId xmlns:a16="http://schemas.microsoft.com/office/drawing/2014/main" id="{60176B78-FF0B-4F22-B03E-A7949E8A3403}"/>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5843991" y="17789855"/>
          <a:ext cx="3671484" cy="2005227"/>
        </a:xfrm>
        <a:prstGeom prst="rect">
          <a:avLst/>
        </a:prstGeom>
      </xdr:spPr>
    </xdr:pic>
    <xdr:clientData/>
  </xdr:twoCellAnchor>
  <xdr:twoCellAnchor editAs="oneCell">
    <xdr:from>
      <xdr:col>8</xdr:col>
      <xdr:colOff>135421</xdr:colOff>
      <xdr:row>61</xdr:row>
      <xdr:rowOff>461734</xdr:rowOff>
    </xdr:from>
    <xdr:to>
      <xdr:col>11</xdr:col>
      <xdr:colOff>438150</xdr:colOff>
      <xdr:row>63</xdr:row>
      <xdr:rowOff>1276350</xdr:rowOff>
    </xdr:to>
    <xdr:pic>
      <xdr:nvPicPr>
        <xdr:cNvPr id="19" name="Imagen 18">
          <a:extLst>
            <a:ext uri="{FF2B5EF4-FFF2-40B4-BE49-F238E27FC236}">
              <a16:creationId xmlns:a16="http://schemas.microsoft.com/office/drawing/2014/main" id="{31AA531B-7549-490A-8AD8-C3F86C3228B8}"/>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5888521" y="19847014"/>
          <a:ext cx="3655529" cy="2003336"/>
        </a:xfrm>
        <a:prstGeom prst="rect">
          <a:avLst/>
        </a:prstGeom>
      </xdr:spPr>
    </xdr:pic>
    <xdr:clientData/>
  </xdr:twoCellAnchor>
  <xdr:twoCellAnchor editAs="oneCell">
    <xdr:from>
      <xdr:col>2</xdr:col>
      <xdr:colOff>233766</xdr:colOff>
      <xdr:row>69</xdr:row>
      <xdr:rowOff>61623</xdr:rowOff>
    </xdr:from>
    <xdr:to>
      <xdr:col>6</xdr:col>
      <xdr:colOff>1269439</xdr:colOff>
      <xdr:row>75</xdr:row>
      <xdr:rowOff>423171</xdr:rowOff>
    </xdr:to>
    <xdr:pic>
      <xdr:nvPicPr>
        <xdr:cNvPr id="20" name="Imagen 19">
          <a:extLst>
            <a:ext uri="{FF2B5EF4-FFF2-40B4-BE49-F238E27FC236}">
              <a16:creationId xmlns:a16="http://schemas.microsoft.com/office/drawing/2014/main" id="{760079CA-B20B-4620-966C-779876A1C8D7}"/>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805266" y="23096883"/>
          <a:ext cx="3756013" cy="2030328"/>
        </a:xfrm>
        <a:prstGeom prst="rect">
          <a:avLst/>
        </a:prstGeom>
      </xdr:spPr>
    </xdr:pic>
    <xdr:clientData/>
  </xdr:twoCellAnchor>
  <xdr:twoCellAnchor editAs="oneCell">
    <xdr:from>
      <xdr:col>2</xdr:col>
      <xdr:colOff>224241</xdr:colOff>
      <xdr:row>75</xdr:row>
      <xdr:rowOff>502282</xdr:rowOff>
    </xdr:from>
    <xdr:to>
      <xdr:col>6</xdr:col>
      <xdr:colOff>1259914</xdr:colOff>
      <xdr:row>82</xdr:row>
      <xdr:rowOff>163489</xdr:rowOff>
    </xdr:to>
    <xdr:pic>
      <xdr:nvPicPr>
        <xdr:cNvPr id="21" name="Imagen 20">
          <a:extLst>
            <a:ext uri="{FF2B5EF4-FFF2-40B4-BE49-F238E27FC236}">
              <a16:creationId xmlns:a16="http://schemas.microsoft.com/office/drawing/2014/main" id="{46C9F22C-8C8A-4E51-820A-FB834CD11657}"/>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795741" y="25206322"/>
          <a:ext cx="3756013" cy="2015787"/>
        </a:xfrm>
        <a:prstGeom prst="rect">
          <a:avLst/>
        </a:prstGeom>
      </xdr:spPr>
    </xdr:pic>
    <xdr:clientData/>
  </xdr:twoCellAnchor>
  <xdr:twoCellAnchor editAs="oneCell">
    <xdr:from>
      <xdr:col>7</xdr:col>
      <xdr:colOff>488211</xdr:colOff>
      <xdr:row>69</xdr:row>
      <xdr:rowOff>69214</xdr:rowOff>
    </xdr:from>
    <xdr:to>
      <xdr:col>11</xdr:col>
      <xdr:colOff>400050</xdr:colOff>
      <xdr:row>75</xdr:row>
      <xdr:rowOff>465776</xdr:rowOff>
    </xdr:to>
    <xdr:pic>
      <xdr:nvPicPr>
        <xdr:cNvPr id="22" name="Imagen 21">
          <a:extLst>
            <a:ext uri="{FF2B5EF4-FFF2-40B4-BE49-F238E27FC236}">
              <a16:creationId xmlns:a16="http://schemas.microsoft.com/office/drawing/2014/main" id="{38C6E847-8FFA-4FA4-8EE8-14E30BA15102}"/>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5654571" y="23104474"/>
          <a:ext cx="3851379" cy="2065342"/>
        </a:xfrm>
        <a:prstGeom prst="rect">
          <a:avLst/>
        </a:prstGeom>
      </xdr:spPr>
    </xdr:pic>
    <xdr:clientData/>
  </xdr:twoCellAnchor>
  <xdr:twoCellAnchor editAs="oneCell">
    <xdr:from>
      <xdr:col>7</xdr:col>
      <xdr:colOff>531549</xdr:colOff>
      <xdr:row>75</xdr:row>
      <xdr:rowOff>508299</xdr:rowOff>
    </xdr:from>
    <xdr:to>
      <xdr:col>11</xdr:col>
      <xdr:colOff>371583</xdr:colOff>
      <xdr:row>82</xdr:row>
      <xdr:rowOff>166999</xdr:rowOff>
    </xdr:to>
    <xdr:pic>
      <xdr:nvPicPr>
        <xdr:cNvPr id="23" name="Imagen 22">
          <a:extLst>
            <a:ext uri="{FF2B5EF4-FFF2-40B4-BE49-F238E27FC236}">
              <a16:creationId xmlns:a16="http://schemas.microsoft.com/office/drawing/2014/main" id="{E5E5AD97-3375-451E-9D85-8FB4D4083E22}"/>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5697909" y="25212339"/>
          <a:ext cx="3779574" cy="2013280"/>
        </a:xfrm>
        <a:prstGeom prst="rect">
          <a:avLst/>
        </a:prstGeom>
      </xdr:spPr>
    </xdr:pic>
    <xdr:clientData/>
  </xdr:twoCellAnchor>
  <xdr:twoCellAnchor editAs="oneCell">
    <xdr:from>
      <xdr:col>2</xdr:col>
      <xdr:colOff>236274</xdr:colOff>
      <xdr:row>84</xdr:row>
      <xdr:rowOff>85691</xdr:rowOff>
    </xdr:from>
    <xdr:to>
      <xdr:col>6</xdr:col>
      <xdr:colOff>1266933</xdr:colOff>
      <xdr:row>87</xdr:row>
      <xdr:rowOff>1208733</xdr:rowOff>
    </xdr:to>
    <xdr:pic>
      <xdr:nvPicPr>
        <xdr:cNvPr id="24" name="Imagen 23">
          <a:extLst>
            <a:ext uri="{FF2B5EF4-FFF2-40B4-BE49-F238E27FC236}">
              <a16:creationId xmlns:a16="http://schemas.microsoft.com/office/drawing/2014/main" id="{12AC64EA-51AB-4685-8DFD-A8A24E80EA24}"/>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807774" y="28432091"/>
          <a:ext cx="3750999" cy="2052682"/>
        </a:xfrm>
        <a:prstGeom prst="rect">
          <a:avLst/>
        </a:prstGeom>
      </xdr:spPr>
    </xdr:pic>
    <xdr:clientData/>
  </xdr:twoCellAnchor>
  <xdr:twoCellAnchor editAs="oneCell">
    <xdr:from>
      <xdr:col>8</xdr:col>
      <xdr:colOff>226749</xdr:colOff>
      <xdr:row>87</xdr:row>
      <xdr:rowOff>1279824</xdr:rowOff>
    </xdr:from>
    <xdr:to>
      <xdr:col>11</xdr:col>
      <xdr:colOff>638283</xdr:colOff>
      <xdr:row>96</xdr:row>
      <xdr:rowOff>5074</xdr:rowOff>
    </xdr:to>
    <xdr:pic>
      <xdr:nvPicPr>
        <xdr:cNvPr id="25" name="Imagen 24">
          <a:extLst>
            <a:ext uri="{FF2B5EF4-FFF2-40B4-BE49-F238E27FC236}">
              <a16:creationId xmlns:a16="http://schemas.microsoft.com/office/drawing/2014/main" id="{CC0A90BE-0952-485B-A097-8303A9E34422}"/>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5979849" y="30555864"/>
          <a:ext cx="3764334" cy="2047570"/>
        </a:xfrm>
        <a:prstGeom prst="rect">
          <a:avLst/>
        </a:prstGeom>
      </xdr:spPr>
    </xdr:pic>
    <xdr:clientData/>
  </xdr:twoCellAnchor>
  <xdr:twoCellAnchor editAs="oneCell">
    <xdr:from>
      <xdr:col>8</xdr:col>
      <xdr:colOff>229260</xdr:colOff>
      <xdr:row>84</xdr:row>
      <xdr:rowOff>37067</xdr:rowOff>
    </xdr:from>
    <xdr:to>
      <xdr:col>11</xdr:col>
      <xdr:colOff>635776</xdr:colOff>
      <xdr:row>87</xdr:row>
      <xdr:rowOff>1152585</xdr:rowOff>
    </xdr:to>
    <xdr:pic>
      <xdr:nvPicPr>
        <xdr:cNvPr id="26" name="Imagen 25">
          <a:extLst>
            <a:ext uri="{FF2B5EF4-FFF2-40B4-BE49-F238E27FC236}">
              <a16:creationId xmlns:a16="http://schemas.microsoft.com/office/drawing/2014/main" id="{DC4791F5-D294-4EF3-A591-D2BC5D8325AD}"/>
            </a:ext>
          </a:extLst>
        </xdr:cNvPr>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a:ext>
          </a:extLst>
        </a:blip>
        <a:stretch>
          <a:fillRect/>
        </a:stretch>
      </xdr:blipFill>
      <xdr:spPr>
        <a:xfrm>
          <a:off x="5982360" y="28383467"/>
          <a:ext cx="3759316" cy="2045158"/>
        </a:xfrm>
        <a:prstGeom prst="rect">
          <a:avLst/>
        </a:prstGeom>
      </xdr:spPr>
    </xdr:pic>
    <xdr:clientData/>
  </xdr:twoCellAnchor>
  <xdr:twoCellAnchor editAs="oneCell">
    <xdr:from>
      <xdr:col>2</xdr:col>
      <xdr:colOff>220733</xdr:colOff>
      <xdr:row>87</xdr:row>
      <xdr:rowOff>1283332</xdr:rowOff>
    </xdr:from>
    <xdr:to>
      <xdr:col>6</xdr:col>
      <xdr:colOff>1253898</xdr:colOff>
      <xdr:row>96</xdr:row>
      <xdr:rowOff>11089</xdr:rowOff>
    </xdr:to>
    <xdr:pic>
      <xdr:nvPicPr>
        <xdr:cNvPr id="27" name="Imagen 26">
          <a:extLst>
            <a:ext uri="{FF2B5EF4-FFF2-40B4-BE49-F238E27FC236}">
              <a16:creationId xmlns:a16="http://schemas.microsoft.com/office/drawing/2014/main" id="{F72FA518-26B1-4039-B98A-145D5269C579}"/>
            </a:ext>
          </a:extLst>
        </xdr:cNvPr>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a:ext>
          </a:extLst>
        </a:blip>
        <a:stretch>
          <a:fillRect/>
        </a:stretch>
      </xdr:blipFill>
      <xdr:spPr>
        <a:xfrm>
          <a:off x="792233" y="30559372"/>
          <a:ext cx="3753505" cy="2050077"/>
        </a:xfrm>
        <a:prstGeom prst="rect">
          <a:avLst/>
        </a:prstGeom>
      </xdr:spPr>
    </xdr:pic>
    <xdr:clientData/>
  </xdr:twoCellAnchor>
  <xdr:twoCellAnchor editAs="oneCell">
    <xdr:from>
      <xdr:col>7</xdr:col>
      <xdr:colOff>238125</xdr:colOff>
      <xdr:row>100</xdr:row>
      <xdr:rowOff>57150</xdr:rowOff>
    </xdr:from>
    <xdr:to>
      <xdr:col>11</xdr:col>
      <xdr:colOff>1047750</xdr:colOff>
      <xdr:row>113</xdr:row>
      <xdr:rowOff>419100</xdr:rowOff>
    </xdr:to>
    <xdr:pic>
      <xdr:nvPicPr>
        <xdr:cNvPr id="28" name="Imagen 27">
          <a:extLst>
            <a:ext uri="{FF2B5EF4-FFF2-40B4-BE49-F238E27FC236}">
              <a16:creationId xmlns:a16="http://schemas.microsoft.com/office/drawing/2014/main" id="{F248607B-4237-4915-A5FB-99DD4AEE7C6D}"/>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a:ext>
          </a:extLst>
        </a:blip>
        <a:srcRect/>
        <a:stretch>
          <a:fillRect/>
        </a:stretch>
      </xdr:blipFill>
      <xdr:spPr bwMode="auto">
        <a:xfrm>
          <a:off x="5404485" y="34255710"/>
          <a:ext cx="4749165" cy="4179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302202</xdr:colOff>
      <xdr:row>121</xdr:row>
      <xdr:rowOff>1136137</xdr:rowOff>
    </xdr:from>
    <xdr:to>
      <xdr:col>6</xdr:col>
      <xdr:colOff>1012247</xdr:colOff>
      <xdr:row>126</xdr:row>
      <xdr:rowOff>949837</xdr:rowOff>
    </xdr:to>
    <xdr:pic>
      <xdr:nvPicPr>
        <xdr:cNvPr id="29" name="Imagen 28">
          <a:extLst>
            <a:ext uri="{FF2B5EF4-FFF2-40B4-BE49-F238E27FC236}">
              <a16:creationId xmlns:a16="http://schemas.microsoft.com/office/drawing/2014/main" id="{31564DAD-F713-4003-B4DB-7A34DB1C828F}"/>
            </a:ext>
          </a:extLst>
        </xdr:cNvPr>
        <xdr:cNvPicPr>
          <a:picLocks noChangeAspect="1" noChangeArrowheads="1"/>
        </xdr:cNvPicPr>
      </xdr:nvPicPr>
      <xdr:blipFill>
        <a:blip xmlns:r="http://schemas.openxmlformats.org/officeDocument/2006/relationships" r:embed="rId28" cstate="screen">
          <a:extLst>
            <a:ext uri="{28A0092B-C50C-407E-A947-70E740481C1C}">
              <a14:useLocalDpi xmlns:a14="http://schemas.microsoft.com/office/drawing/2010/main"/>
            </a:ext>
          </a:extLst>
        </a:blip>
        <a:srcRect/>
        <a:stretch>
          <a:fillRect/>
        </a:stretch>
      </xdr:blipFill>
      <xdr:spPr bwMode="auto">
        <a:xfrm>
          <a:off x="873702" y="41773597"/>
          <a:ext cx="3430385" cy="1932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171664</xdr:colOff>
      <xdr:row>116</xdr:row>
      <xdr:rowOff>63396</xdr:rowOff>
    </xdr:from>
    <xdr:to>
      <xdr:col>6</xdr:col>
      <xdr:colOff>1285662</xdr:colOff>
      <xdr:row>121</xdr:row>
      <xdr:rowOff>1051029</xdr:rowOff>
    </xdr:to>
    <xdr:pic>
      <xdr:nvPicPr>
        <xdr:cNvPr id="30" name="Imagen 29">
          <a:extLst>
            <a:ext uri="{FF2B5EF4-FFF2-40B4-BE49-F238E27FC236}">
              <a16:creationId xmlns:a16="http://schemas.microsoft.com/office/drawing/2014/main" id="{96C82CFC-8F00-40AE-91BC-6F5A225603CF}"/>
            </a:ext>
          </a:extLst>
        </xdr:cNvPr>
        <xdr:cNvPicPr>
          <a:picLocks noChangeAspect="1" noChangeArrowheads="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743164" y="39771216"/>
          <a:ext cx="3834338" cy="19172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533988</xdr:colOff>
      <xdr:row>9</xdr:row>
      <xdr:rowOff>550718</xdr:rowOff>
    </xdr:from>
    <xdr:to>
      <xdr:col>11</xdr:col>
      <xdr:colOff>184898</xdr:colOff>
      <xdr:row>19</xdr:row>
      <xdr:rowOff>1732</xdr:rowOff>
    </xdr:to>
    <xdr:pic>
      <xdr:nvPicPr>
        <xdr:cNvPr id="31" name="Imagen 30">
          <a:extLst>
            <a:ext uri="{FF2B5EF4-FFF2-40B4-BE49-F238E27FC236}">
              <a16:creationId xmlns:a16="http://schemas.microsoft.com/office/drawing/2014/main" id="{3734027D-206D-4DE4-8FBA-EEFEFCD8794F}"/>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6287088" y="3636818"/>
          <a:ext cx="3003710" cy="2247554"/>
        </a:xfrm>
        <a:prstGeom prst="rect">
          <a:avLst/>
        </a:prstGeom>
      </xdr:spPr>
    </xdr:pic>
    <xdr:clientData/>
  </xdr:twoCellAnchor>
  <xdr:twoCellAnchor editAs="oneCell">
    <xdr:from>
      <xdr:col>7</xdr:col>
      <xdr:colOff>134192</xdr:colOff>
      <xdr:row>119</xdr:row>
      <xdr:rowOff>176454</xdr:rowOff>
    </xdr:from>
    <xdr:to>
      <xdr:col>11</xdr:col>
      <xdr:colOff>1237408</xdr:colOff>
      <xdr:row>126</xdr:row>
      <xdr:rowOff>260015</xdr:rowOff>
    </xdr:to>
    <xdr:pic>
      <xdr:nvPicPr>
        <xdr:cNvPr id="32" name="Imagen 31">
          <a:extLst>
            <a:ext uri="{FF2B5EF4-FFF2-40B4-BE49-F238E27FC236}">
              <a16:creationId xmlns:a16="http://schemas.microsoft.com/office/drawing/2014/main" id="{BBD89425-6F05-431C-AFE1-809B9A1E512E}"/>
            </a:ext>
          </a:extLst>
        </xdr:cNvPr>
        <xdr:cNvPicPr>
          <a:picLocks noChangeAspect="1" noChangeArrowheads="1"/>
        </xdr:cNvPicPr>
      </xdr:nvPicPr>
      <xdr:blipFill>
        <a:blip xmlns:r="http://schemas.openxmlformats.org/officeDocument/2006/relationships" r:embed="rId31" cstate="screen">
          <a:extLst>
            <a:ext uri="{28A0092B-C50C-407E-A947-70E740481C1C}">
              <a14:useLocalDpi xmlns:a14="http://schemas.microsoft.com/office/drawing/2010/main"/>
            </a:ext>
          </a:extLst>
        </a:blip>
        <a:srcRect/>
        <a:stretch>
          <a:fillRect/>
        </a:stretch>
      </xdr:blipFill>
      <xdr:spPr bwMode="auto">
        <a:xfrm>
          <a:off x="5300552" y="40448154"/>
          <a:ext cx="5042756" cy="25676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185738</xdr:colOff>
      <xdr:row>132</xdr:row>
      <xdr:rowOff>138113</xdr:rowOff>
    </xdr:from>
    <xdr:to>
      <xdr:col>4</xdr:col>
      <xdr:colOff>135563</xdr:colOff>
      <xdr:row>137</xdr:row>
      <xdr:rowOff>123600</xdr:rowOff>
    </xdr:to>
    <xdr:pic>
      <xdr:nvPicPr>
        <xdr:cNvPr id="33" name="Imagen 32">
          <a:extLst>
            <a:ext uri="{FF2B5EF4-FFF2-40B4-BE49-F238E27FC236}">
              <a16:creationId xmlns:a16="http://schemas.microsoft.com/office/drawing/2014/main" id="{A4D63F5C-8E3B-4041-89B4-54255CC6BB69}"/>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37198" y="45126593"/>
          <a:ext cx="1390005" cy="1776187"/>
        </a:xfrm>
        <a:prstGeom prst="rect">
          <a:avLst/>
        </a:prstGeom>
      </xdr:spPr>
    </xdr:pic>
    <xdr:clientData/>
  </xdr:twoCellAnchor>
  <xdr:twoCellAnchor editAs="oneCell">
    <xdr:from>
      <xdr:col>3</xdr:col>
      <xdr:colOff>240487</xdr:colOff>
      <xdr:row>137</xdr:row>
      <xdr:rowOff>175401</xdr:rowOff>
    </xdr:from>
    <xdr:to>
      <xdr:col>5</xdr:col>
      <xdr:colOff>293500</xdr:colOff>
      <xdr:row>142</xdr:row>
      <xdr:rowOff>160889</xdr:rowOff>
    </xdr:to>
    <xdr:pic>
      <xdr:nvPicPr>
        <xdr:cNvPr id="34" name="Imagen 33">
          <a:extLst>
            <a:ext uri="{FF2B5EF4-FFF2-40B4-BE49-F238E27FC236}">
              <a16:creationId xmlns:a16="http://schemas.microsoft.com/office/drawing/2014/main" id="{2F692957-05AC-4239-BBC8-85BD978DEFA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383487" y="46954581"/>
          <a:ext cx="1386513" cy="1776188"/>
        </a:xfrm>
        <a:prstGeom prst="rect">
          <a:avLst/>
        </a:prstGeom>
      </xdr:spPr>
    </xdr:pic>
    <xdr:clientData/>
  </xdr:twoCellAnchor>
  <xdr:twoCellAnchor editAs="oneCell">
    <xdr:from>
      <xdr:col>5</xdr:col>
      <xdr:colOff>409538</xdr:colOff>
      <xdr:row>137</xdr:row>
      <xdr:rowOff>111088</xdr:rowOff>
    </xdr:from>
    <xdr:to>
      <xdr:col>6</xdr:col>
      <xdr:colOff>959437</xdr:colOff>
      <xdr:row>142</xdr:row>
      <xdr:rowOff>96576</xdr:rowOff>
    </xdr:to>
    <xdr:pic>
      <xdr:nvPicPr>
        <xdr:cNvPr id="35" name="Imagen 34">
          <a:extLst>
            <a:ext uri="{FF2B5EF4-FFF2-40B4-BE49-F238E27FC236}">
              <a16:creationId xmlns:a16="http://schemas.microsoft.com/office/drawing/2014/main" id="{2E8F1B5F-A865-4F27-9709-AA8FBED172D3}"/>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2886038" y="46890268"/>
          <a:ext cx="1365239" cy="1776188"/>
        </a:xfrm>
        <a:prstGeom prst="rect">
          <a:avLst/>
        </a:prstGeom>
      </xdr:spPr>
    </xdr:pic>
    <xdr:clientData/>
  </xdr:twoCellAnchor>
  <xdr:twoCellAnchor editAs="oneCell">
    <xdr:from>
      <xdr:col>4</xdr:col>
      <xdr:colOff>273788</xdr:colOff>
      <xdr:row>132</xdr:row>
      <xdr:rowOff>173775</xdr:rowOff>
    </xdr:from>
    <xdr:to>
      <xdr:col>6</xdr:col>
      <xdr:colOff>61687</xdr:colOff>
      <xdr:row>137</xdr:row>
      <xdr:rowOff>159262</xdr:rowOff>
    </xdr:to>
    <xdr:pic>
      <xdr:nvPicPr>
        <xdr:cNvPr id="36" name="Imagen 35">
          <a:extLst>
            <a:ext uri="{FF2B5EF4-FFF2-40B4-BE49-F238E27FC236}">
              <a16:creationId xmlns:a16="http://schemas.microsoft.com/office/drawing/2014/main" id="{14B3D626-F79A-4525-AB96-807AC00939F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965428" y="45162255"/>
          <a:ext cx="1388099" cy="1776187"/>
        </a:xfrm>
        <a:prstGeom prst="rect">
          <a:avLst/>
        </a:prstGeom>
      </xdr:spPr>
    </xdr:pic>
    <xdr:clientData/>
  </xdr:twoCellAnchor>
  <xdr:twoCellAnchor editAs="oneCell">
    <xdr:from>
      <xdr:col>6</xdr:col>
      <xdr:colOff>352350</xdr:colOff>
      <xdr:row>132</xdr:row>
      <xdr:rowOff>123750</xdr:rowOff>
    </xdr:from>
    <xdr:to>
      <xdr:col>6</xdr:col>
      <xdr:colOff>1688062</xdr:colOff>
      <xdr:row>137</xdr:row>
      <xdr:rowOff>109237</xdr:rowOff>
    </xdr:to>
    <xdr:pic>
      <xdr:nvPicPr>
        <xdr:cNvPr id="37" name="Imagen 36">
          <a:extLst>
            <a:ext uri="{FF2B5EF4-FFF2-40B4-BE49-F238E27FC236}">
              <a16:creationId xmlns:a16="http://schemas.microsoft.com/office/drawing/2014/main" id="{76E62622-0007-4AC4-AE89-F4132994588B}"/>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644190" y="45112230"/>
          <a:ext cx="1335712" cy="1776187"/>
        </a:xfrm>
        <a:prstGeom prst="rect">
          <a:avLst/>
        </a:prstGeom>
      </xdr:spPr>
    </xdr:pic>
    <xdr:clientData/>
  </xdr:twoCellAnchor>
  <xdr:twoCellAnchor editAs="oneCell">
    <xdr:from>
      <xdr:col>10</xdr:col>
      <xdr:colOff>735713</xdr:colOff>
      <xdr:row>142</xdr:row>
      <xdr:rowOff>202313</xdr:rowOff>
    </xdr:from>
    <xdr:to>
      <xdr:col>11</xdr:col>
      <xdr:colOff>1171313</xdr:colOff>
      <xdr:row>145</xdr:row>
      <xdr:rowOff>544988</xdr:rowOff>
    </xdr:to>
    <xdr:pic>
      <xdr:nvPicPr>
        <xdr:cNvPr id="38" name="Imagen 37">
          <a:extLst>
            <a:ext uri="{FF2B5EF4-FFF2-40B4-BE49-F238E27FC236}">
              <a16:creationId xmlns:a16="http://schemas.microsoft.com/office/drawing/2014/main" id="{3AB5084D-B376-4F33-ABD1-517B6CDDA04B}"/>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8919593" y="48772193"/>
          <a:ext cx="1357620" cy="1782855"/>
        </a:xfrm>
        <a:prstGeom prst="rect">
          <a:avLst/>
        </a:prstGeom>
      </xdr:spPr>
    </xdr:pic>
    <xdr:clientData/>
  </xdr:twoCellAnchor>
  <xdr:twoCellAnchor editAs="oneCell">
    <xdr:from>
      <xdr:col>7</xdr:col>
      <xdr:colOff>218962</xdr:colOff>
      <xdr:row>142</xdr:row>
      <xdr:rowOff>138001</xdr:rowOff>
    </xdr:from>
    <xdr:to>
      <xdr:col>8</xdr:col>
      <xdr:colOff>987937</xdr:colOff>
      <xdr:row>145</xdr:row>
      <xdr:rowOff>480676</xdr:rowOff>
    </xdr:to>
    <xdr:pic>
      <xdr:nvPicPr>
        <xdr:cNvPr id="39" name="Imagen 38">
          <a:extLst>
            <a:ext uri="{FF2B5EF4-FFF2-40B4-BE49-F238E27FC236}">
              <a16:creationId xmlns:a16="http://schemas.microsoft.com/office/drawing/2014/main" id="{F7B877D1-5AEA-46B5-8CB2-7F7EAC16CE63}"/>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385322" y="48707881"/>
          <a:ext cx="1355715" cy="1782855"/>
        </a:xfrm>
        <a:prstGeom prst="rect">
          <a:avLst/>
        </a:prstGeom>
      </xdr:spPr>
    </xdr:pic>
    <xdr:clientData/>
  </xdr:twoCellAnchor>
  <xdr:twoCellAnchor editAs="oneCell">
    <xdr:from>
      <xdr:col>8</xdr:col>
      <xdr:colOff>1273837</xdr:colOff>
      <xdr:row>142</xdr:row>
      <xdr:rowOff>173701</xdr:rowOff>
    </xdr:from>
    <xdr:to>
      <xdr:col>10</xdr:col>
      <xdr:colOff>256875</xdr:colOff>
      <xdr:row>145</xdr:row>
      <xdr:rowOff>516376</xdr:rowOff>
    </xdr:to>
    <xdr:pic>
      <xdr:nvPicPr>
        <xdr:cNvPr id="40" name="Imagen 39">
          <a:extLst>
            <a:ext uri="{FF2B5EF4-FFF2-40B4-BE49-F238E27FC236}">
              <a16:creationId xmlns:a16="http://schemas.microsoft.com/office/drawing/2014/main" id="{EF5FC186-9ED6-4DCF-81ED-02C2493C3CEC}"/>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7026937" y="48743581"/>
          <a:ext cx="1413818" cy="1782855"/>
        </a:xfrm>
        <a:prstGeom prst="rect">
          <a:avLst/>
        </a:prstGeom>
      </xdr:spPr>
    </xdr:pic>
    <xdr:clientData/>
  </xdr:twoCellAnchor>
  <xdr:twoCellAnchor editAs="oneCell">
    <xdr:from>
      <xdr:col>10</xdr:col>
      <xdr:colOff>666600</xdr:colOff>
      <xdr:row>137</xdr:row>
      <xdr:rowOff>99862</xdr:rowOff>
    </xdr:from>
    <xdr:to>
      <xdr:col>11</xdr:col>
      <xdr:colOff>1121250</xdr:colOff>
      <xdr:row>142</xdr:row>
      <xdr:rowOff>75825</xdr:rowOff>
    </xdr:to>
    <xdr:pic>
      <xdr:nvPicPr>
        <xdr:cNvPr id="41" name="Imagen 40">
          <a:extLst>
            <a:ext uri="{FF2B5EF4-FFF2-40B4-BE49-F238E27FC236}">
              <a16:creationId xmlns:a16="http://schemas.microsoft.com/office/drawing/2014/main" id="{53F37281-44A5-4837-8D12-C62B3339DB23}"/>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8850480" y="46879042"/>
          <a:ext cx="1376670" cy="1766663"/>
        </a:xfrm>
        <a:prstGeom prst="rect">
          <a:avLst/>
        </a:prstGeom>
      </xdr:spPr>
    </xdr:pic>
    <xdr:clientData/>
  </xdr:twoCellAnchor>
  <xdr:twoCellAnchor editAs="oneCell">
    <xdr:from>
      <xdr:col>8</xdr:col>
      <xdr:colOff>1326188</xdr:colOff>
      <xdr:row>137</xdr:row>
      <xdr:rowOff>73649</xdr:rowOff>
    </xdr:from>
    <xdr:to>
      <xdr:col>10</xdr:col>
      <xdr:colOff>313988</xdr:colOff>
      <xdr:row>142</xdr:row>
      <xdr:rowOff>49612</xdr:rowOff>
    </xdr:to>
    <xdr:pic>
      <xdr:nvPicPr>
        <xdr:cNvPr id="42" name="Imagen 41">
          <a:extLst>
            <a:ext uri="{FF2B5EF4-FFF2-40B4-BE49-F238E27FC236}">
              <a16:creationId xmlns:a16="http://schemas.microsoft.com/office/drawing/2014/main" id="{B26F3238-8D89-4F82-8587-20F18B5A4803}"/>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7079288" y="46852829"/>
          <a:ext cx="1418580" cy="1766663"/>
        </a:xfrm>
        <a:prstGeom prst="rect">
          <a:avLst/>
        </a:prstGeom>
      </xdr:spPr>
    </xdr:pic>
    <xdr:clientData/>
  </xdr:twoCellAnchor>
  <xdr:twoCellAnchor editAs="oneCell">
    <xdr:from>
      <xdr:col>7</xdr:col>
      <xdr:colOff>285563</xdr:colOff>
      <xdr:row>137</xdr:row>
      <xdr:rowOff>56963</xdr:rowOff>
    </xdr:from>
    <xdr:to>
      <xdr:col>8</xdr:col>
      <xdr:colOff>1064063</xdr:colOff>
      <xdr:row>142</xdr:row>
      <xdr:rowOff>42451</xdr:rowOff>
    </xdr:to>
    <xdr:pic>
      <xdr:nvPicPr>
        <xdr:cNvPr id="43" name="Imagen 42">
          <a:extLst>
            <a:ext uri="{FF2B5EF4-FFF2-40B4-BE49-F238E27FC236}">
              <a16:creationId xmlns:a16="http://schemas.microsoft.com/office/drawing/2014/main" id="{24A7BA54-F5AE-4290-AC77-A04F1CE16617}"/>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5451923" y="46836143"/>
          <a:ext cx="1365240" cy="1776188"/>
        </a:xfrm>
        <a:prstGeom prst="rect">
          <a:avLst/>
        </a:prstGeom>
      </xdr:spPr>
    </xdr:pic>
    <xdr:clientData/>
  </xdr:twoCellAnchor>
  <xdr:twoCellAnchor editAs="oneCell">
    <xdr:from>
      <xdr:col>9</xdr:col>
      <xdr:colOff>545100</xdr:colOff>
      <xdr:row>132</xdr:row>
      <xdr:rowOff>59325</xdr:rowOff>
    </xdr:from>
    <xdr:to>
      <xdr:col>11</xdr:col>
      <xdr:colOff>1182975</xdr:colOff>
      <xdr:row>137</xdr:row>
      <xdr:rowOff>44812</xdr:rowOff>
    </xdr:to>
    <xdr:pic>
      <xdr:nvPicPr>
        <xdr:cNvPr id="44" name="Imagen 43">
          <a:extLst>
            <a:ext uri="{FF2B5EF4-FFF2-40B4-BE49-F238E27FC236}">
              <a16:creationId xmlns:a16="http://schemas.microsoft.com/office/drawing/2014/main" id="{7DDE843E-40BE-4690-ACB3-27E9EB5AF9DA}"/>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7837440" y="45047805"/>
          <a:ext cx="2451435" cy="1776187"/>
        </a:xfrm>
        <a:prstGeom prst="rect">
          <a:avLst/>
        </a:prstGeom>
      </xdr:spPr>
    </xdr:pic>
    <xdr:clientData/>
  </xdr:twoCellAnchor>
  <xdr:twoCellAnchor editAs="oneCell">
    <xdr:from>
      <xdr:col>6</xdr:col>
      <xdr:colOff>337912</xdr:colOff>
      <xdr:row>142</xdr:row>
      <xdr:rowOff>128364</xdr:rowOff>
    </xdr:from>
    <xdr:to>
      <xdr:col>6</xdr:col>
      <xdr:colOff>1697437</xdr:colOff>
      <xdr:row>145</xdr:row>
      <xdr:rowOff>471039</xdr:rowOff>
    </xdr:to>
    <xdr:pic>
      <xdr:nvPicPr>
        <xdr:cNvPr id="45" name="Imagen 44">
          <a:extLst>
            <a:ext uri="{FF2B5EF4-FFF2-40B4-BE49-F238E27FC236}">
              <a16:creationId xmlns:a16="http://schemas.microsoft.com/office/drawing/2014/main" id="{673950AA-499F-4AB4-B220-5451AED195A3}"/>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629752" y="48698244"/>
          <a:ext cx="1359525" cy="1782855"/>
        </a:xfrm>
        <a:prstGeom prst="rect">
          <a:avLst/>
        </a:prstGeom>
      </xdr:spPr>
    </xdr:pic>
    <xdr:clientData/>
  </xdr:twoCellAnchor>
  <xdr:twoCellAnchor editAs="oneCell">
    <xdr:from>
      <xdr:col>4</xdr:col>
      <xdr:colOff>354562</xdr:colOff>
      <xdr:row>142</xdr:row>
      <xdr:rowOff>192638</xdr:rowOff>
    </xdr:from>
    <xdr:to>
      <xdr:col>6</xdr:col>
      <xdr:colOff>151986</xdr:colOff>
      <xdr:row>145</xdr:row>
      <xdr:rowOff>535313</xdr:rowOff>
    </xdr:to>
    <xdr:pic>
      <xdr:nvPicPr>
        <xdr:cNvPr id="46" name="Imagen 45">
          <a:extLst>
            <a:ext uri="{FF2B5EF4-FFF2-40B4-BE49-F238E27FC236}">
              <a16:creationId xmlns:a16="http://schemas.microsoft.com/office/drawing/2014/main" id="{F727525C-A373-4EA3-BE6B-6B78CD504513}"/>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046202" y="48762518"/>
          <a:ext cx="1397624" cy="1782855"/>
        </a:xfrm>
        <a:prstGeom prst="rect">
          <a:avLst/>
        </a:prstGeom>
      </xdr:spPr>
    </xdr:pic>
    <xdr:clientData/>
  </xdr:twoCellAnchor>
  <xdr:twoCellAnchor editAs="oneCell">
    <xdr:from>
      <xdr:col>1</xdr:col>
      <xdr:colOff>152138</xdr:colOff>
      <xdr:row>142</xdr:row>
      <xdr:rowOff>156900</xdr:rowOff>
    </xdr:from>
    <xdr:to>
      <xdr:col>4</xdr:col>
      <xdr:colOff>121013</xdr:colOff>
      <xdr:row>145</xdr:row>
      <xdr:rowOff>499575</xdr:rowOff>
    </xdr:to>
    <xdr:pic>
      <xdr:nvPicPr>
        <xdr:cNvPr id="47" name="Imagen 46">
          <a:extLst>
            <a:ext uri="{FF2B5EF4-FFF2-40B4-BE49-F238E27FC236}">
              <a16:creationId xmlns:a16="http://schemas.microsoft.com/office/drawing/2014/main" id="{D11B64D6-9E1F-4588-B41D-1F3D77FF941A}"/>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403598" y="48726780"/>
          <a:ext cx="1409055" cy="1782855"/>
        </a:xfrm>
        <a:prstGeom prst="rect">
          <a:avLst/>
        </a:prstGeom>
      </xdr:spPr>
    </xdr:pic>
    <xdr:clientData/>
  </xdr:twoCellAnchor>
  <xdr:twoCellAnchor editAs="oneCell">
    <xdr:from>
      <xdr:col>7</xdr:col>
      <xdr:colOff>78300</xdr:colOff>
      <xdr:row>132</xdr:row>
      <xdr:rowOff>40200</xdr:rowOff>
    </xdr:from>
    <xdr:to>
      <xdr:col>9</xdr:col>
      <xdr:colOff>411375</xdr:colOff>
      <xdr:row>137</xdr:row>
      <xdr:rowOff>25687</xdr:rowOff>
    </xdr:to>
    <xdr:pic>
      <xdr:nvPicPr>
        <xdr:cNvPr id="48" name="Imagen 47">
          <a:extLst>
            <a:ext uri="{FF2B5EF4-FFF2-40B4-BE49-F238E27FC236}">
              <a16:creationId xmlns:a16="http://schemas.microsoft.com/office/drawing/2014/main" id="{60CC5274-5644-4576-9285-A842C5DD6706}"/>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244660" y="45028680"/>
          <a:ext cx="2459055" cy="177618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59B77EE1\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nforme%20Semanal%20Gerencial%20No.%20271%20(25%20Dic-%2031%20Dic%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183-LAB-01-0260"/>
      <sheetName val="Recipiente"/>
      <sheetName val="Guia rec."/>
      <sheetName val="MEZCLAS"/>
      <sheetName val="Módulo1"/>
      <sheetName val="Módulo11"/>
      <sheetName val="LIMITE"/>
      <sheetName val="Hoja1"/>
      <sheetName val="Guia_rec_"/>
    </sheetNames>
    <sheetDataSet>
      <sheetData sheetId="0" refreshError="1"/>
      <sheetData sheetId="1" refreshError="1"/>
      <sheetData sheetId="2" refreshError="1"/>
      <sheetData sheetId="3" refreshError="1"/>
      <sheetData sheetId="4"/>
      <sheetData sheetId="5" refreshError="1"/>
      <sheetData sheetId="6" refreshError="1"/>
      <sheetData sheetId="7" refreshError="1"/>
      <sheetData sheetId="8" refreshError="1"/>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 val="#¡REF"/>
      <sheetName val="SEP-16"/>
      <sheetName val="Base Muestras"/>
      <sheetName val="#REF"/>
      <sheetName val="Datos"/>
    </sheetNames>
    <definedNames>
      <definedName name="Clasificacion"/>
    </defined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dios"/>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row r="15">
          <cell r="S15">
            <v>104.97</v>
          </cell>
        </row>
        <row r="16">
          <cell r="S16">
            <v>104.97</v>
          </cell>
        </row>
        <row r="17">
          <cell r="S17">
            <v>104.96</v>
          </cell>
        </row>
        <row r="18">
          <cell r="S18">
            <v>105.29</v>
          </cell>
        </row>
        <row r="19">
          <cell r="S19">
            <v>105.23</v>
          </cell>
        </row>
        <row r="20">
          <cell r="S20">
            <v>105.08</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93"/>
  <sheetViews>
    <sheetView showGridLines="0" tabSelected="1" topLeftCell="A37" zoomScale="70" zoomScaleNormal="70" zoomScaleSheetLayoutView="70" zoomScalePageLayoutView="95" workbookViewId="0">
      <selection activeCell="K41" sqref="K41:L41"/>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528"/>
      <c r="C2" s="528"/>
      <c r="D2" s="528"/>
      <c r="E2" s="528"/>
      <c r="F2" s="519" t="s">
        <v>351</v>
      </c>
      <c r="G2" s="519"/>
      <c r="H2" s="519"/>
      <c r="I2" s="519"/>
      <c r="J2" s="519"/>
      <c r="K2" s="519"/>
      <c r="L2" s="519"/>
      <c r="M2" s="519"/>
      <c r="N2" s="519"/>
      <c r="O2" s="519"/>
      <c r="P2" s="519"/>
      <c r="Q2" s="519" t="s">
        <v>0</v>
      </c>
      <c r="R2" s="519"/>
      <c r="S2" s="528"/>
      <c r="T2" s="528"/>
    </row>
    <row r="3" spans="2:20" ht="30" customHeight="1" x14ac:dyDescent="0.2">
      <c r="B3" s="528"/>
      <c r="C3" s="528"/>
      <c r="D3" s="528"/>
      <c r="E3" s="528"/>
      <c r="F3" s="519" t="s">
        <v>352</v>
      </c>
      <c r="G3" s="519"/>
      <c r="H3" s="528" t="s">
        <v>1</v>
      </c>
      <c r="I3" s="528"/>
      <c r="J3" s="528"/>
      <c r="K3" s="528"/>
      <c r="L3" s="528"/>
      <c r="M3" s="528"/>
      <c r="N3" s="528"/>
      <c r="O3" s="528"/>
      <c r="P3" s="528"/>
      <c r="Q3" s="519" t="s">
        <v>2</v>
      </c>
      <c r="R3" s="519"/>
      <c r="S3" s="529"/>
      <c r="T3" s="529"/>
    </row>
    <row r="4" spans="2:20" ht="30" customHeight="1" x14ac:dyDescent="0.2">
      <c r="B4" s="528"/>
      <c r="C4" s="528"/>
      <c r="D4" s="528"/>
      <c r="E4" s="528"/>
      <c r="F4" s="519" t="s">
        <v>353</v>
      </c>
      <c r="G4" s="519"/>
      <c r="H4" s="528" t="s">
        <v>3</v>
      </c>
      <c r="I4" s="528"/>
      <c r="J4" s="528"/>
      <c r="K4" s="528"/>
      <c r="L4" s="528"/>
      <c r="M4" s="528"/>
      <c r="N4" s="528"/>
      <c r="O4" s="528"/>
      <c r="P4" s="528"/>
      <c r="Q4" s="519" t="s">
        <v>4</v>
      </c>
      <c r="R4" s="519"/>
      <c r="S4" s="524" t="s">
        <v>1328</v>
      </c>
      <c r="T4" s="524"/>
    </row>
    <row r="5" spans="2:20" ht="14.25" x14ac:dyDescent="0.2">
      <c r="B5" s="525"/>
      <c r="C5" s="525"/>
      <c r="D5" s="525"/>
      <c r="E5" s="525"/>
      <c r="F5" s="525"/>
      <c r="G5" s="525"/>
      <c r="H5" s="525"/>
      <c r="I5" s="525"/>
      <c r="J5" s="525"/>
      <c r="K5" s="525"/>
      <c r="L5" s="525"/>
      <c r="M5" s="525"/>
      <c r="N5" s="525"/>
      <c r="O5" s="525"/>
      <c r="P5" s="525"/>
      <c r="Q5" s="525"/>
      <c r="R5" s="525"/>
      <c r="S5" s="525"/>
      <c r="T5" s="525"/>
    </row>
    <row r="6" spans="2:20" ht="22.5" customHeight="1" x14ac:dyDescent="0.2">
      <c r="B6" s="526" t="s">
        <v>5</v>
      </c>
      <c r="C6" s="526"/>
      <c r="D6" s="526"/>
      <c r="E6" s="526"/>
      <c r="F6" s="526"/>
      <c r="G6" s="526"/>
      <c r="H6" s="526"/>
      <c r="I6" s="526"/>
      <c r="J6" s="526"/>
      <c r="K6" s="526"/>
      <c r="L6" s="526"/>
      <c r="M6" s="526"/>
      <c r="N6" s="526"/>
      <c r="O6" s="526"/>
      <c r="P6" s="526"/>
      <c r="Q6" s="526"/>
      <c r="R6" s="526"/>
      <c r="S6" s="526"/>
      <c r="T6" s="526"/>
    </row>
    <row r="7" spans="2:20" ht="14.25" x14ac:dyDescent="0.2">
      <c r="B7" s="391"/>
      <c r="C7" s="391"/>
      <c r="D7" s="391"/>
      <c r="E7" s="391"/>
      <c r="F7" s="391"/>
      <c r="G7" s="391"/>
      <c r="H7" s="391"/>
      <c r="I7" s="391"/>
      <c r="J7" s="391"/>
      <c r="K7" s="391"/>
      <c r="L7" s="391"/>
      <c r="M7" s="391"/>
      <c r="N7" s="391"/>
      <c r="O7" s="391"/>
      <c r="P7" s="391"/>
      <c r="Q7" s="391"/>
      <c r="R7" s="391"/>
      <c r="S7" s="391"/>
      <c r="T7" s="391"/>
    </row>
    <row r="8" spans="2:20" ht="22.5" customHeight="1" x14ac:dyDescent="0.2">
      <c r="B8" s="527" t="s">
        <v>6</v>
      </c>
      <c r="C8" s="527"/>
      <c r="D8" s="527"/>
      <c r="E8" s="527"/>
      <c r="F8" s="527"/>
      <c r="G8" s="527"/>
      <c r="H8" s="527"/>
      <c r="I8" s="527"/>
      <c r="J8" s="527"/>
      <c r="K8" s="527"/>
      <c r="L8" s="527"/>
      <c r="M8" s="527"/>
      <c r="N8" s="527"/>
      <c r="O8" s="527"/>
      <c r="P8" s="527"/>
      <c r="Q8" s="527"/>
      <c r="R8" s="527"/>
      <c r="S8" s="527"/>
      <c r="T8" s="527"/>
    </row>
    <row r="9" spans="2:20" ht="22.5" customHeight="1" x14ac:dyDescent="0.2">
      <c r="B9" s="397" t="s">
        <v>7</v>
      </c>
      <c r="C9" s="399"/>
      <c r="D9" s="399"/>
      <c r="E9" s="399"/>
      <c r="F9" s="399"/>
      <c r="G9" s="399"/>
      <c r="H9" s="399"/>
      <c r="I9" s="399"/>
      <c r="J9" s="399"/>
      <c r="K9" s="399"/>
      <c r="L9" s="399"/>
      <c r="M9" s="399"/>
      <c r="N9" s="399"/>
      <c r="O9" s="399"/>
      <c r="P9" s="399"/>
      <c r="Q9" s="399"/>
      <c r="R9" s="399"/>
      <c r="S9" s="399"/>
      <c r="T9" s="398"/>
    </row>
    <row r="10" spans="2:20" ht="22.5" customHeight="1" x14ac:dyDescent="0.2">
      <c r="B10" s="533" t="s">
        <v>8</v>
      </c>
      <c r="C10" s="533"/>
      <c r="D10" s="533"/>
      <c r="E10" s="533"/>
      <c r="F10" s="392" t="s">
        <v>9</v>
      </c>
      <c r="G10" s="393"/>
      <c r="H10" s="393"/>
      <c r="I10" s="394"/>
      <c r="J10" s="554" t="s">
        <v>10</v>
      </c>
      <c r="K10" s="555"/>
      <c r="L10" s="555"/>
      <c r="M10" s="555"/>
      <c r="N10" s="556"/>
      <c r="O10" s="392" t="s">
        <v>11</v>
      </c>
      <c r="P10" s="393"/>
      <c r="Q10" s="394"/>
      <c r="R10" s="560" t="s">
        <v>12</v>
      </c>
      <c r="S10" s="560"/>
      <c r="T10" s="560"/>
    </row>
    <row r="11" spans="2:20" ht="22.5" customHeight="1" x14ac:dyDescent="0.2">
      <c r="B11" s="533"/>
      <c r="C11" s="533"/>
      <c r="D11" s="533"/>
      <c r="E11" s="533"/>
      <c r="F11" s="551"/>
      <c r="G11" s="552"/>
      <c r="H11" s="552"/>
      <c r="I11" s="553"/>
      <c r="J11" s="557"/>
      <c r="K11" s="558"/>
      <c r="L11" s="558"/>
      <c r="M11" s="558"/>
      <c r="N11" s="559"/>
      <c r="O11" s="551"/>
      <c r="P11" s="552"/>
      <c r="Q11" s="553"/>
      <c r="R11" s="560"/>
      <c r="S11" s="560"/>
      <c r="T11" s="560"/>
    </row>
    <row r="12" spans="2:20" ht="168" customHeight="1" x14ac:dyDescent="0.2">
      <c r="B12" s="495" t="s">
        <v>13</v>
      </c>
      <c r="C12" s="496"/>
      <c r="D12" s="496"/>
      <c r="E12" s="497"/>
      <c r="F12" s="501" t="s">
        <v>434</v>
      </c>
      <c r="G12" s="502"/>
      <c r="H12" s="502"/>
      <c r="I12" s="503"/>
      <c r="J12" s="520" t="s">
        <v>435</v>
      </c>
      <c r="K12" s="521"/>
      <c r="L12" s="521"/>
      <c r="M12" s="521"/>
      <c r="N12" s="522"/>
      <c r="O12" s="501" t="s">
        <v>437</v>
      </c>
      <c r="P12" s="502"/>
      <c r="Q12" s="503"/>
      <c r="R12" s="535" t="s">
        <v>483</v>
      </c>
      <c r="S12" s="536"/>
      <c r="T12" s="537"/>
    </row>
    <row r="13" spans="2:20" ht="168" customHeight="1" x14ac:dyDescent="0.2">
      <c r="B13" s="498"/>
      <c r="C13" s="499"/>
      <c r="D13" s="499"/>
      <c r="E13" s="500"/>
      <c r="F13" s="504"/>
      <c r="G13" s="505"/>
      <c r="H13" s="505"/>
      <c r="I13" s="506"/>
      <c r="J13" s="520" t="s">
        <v>436</v>
      </c>
      <c r="K13" s="521"/>
      <c r="L13" s="521"/>
      <c r="M13" s="521"/>
      <c r="N13" s="522"/>
      <c r="O13" s="504"/>
      <c r="P13" s="505"/>
      <c r="Q13" s="506"/>
      <c r="R13" s="538"/>
      <c r="S13" s="539"/>
      <c r="T13" s="540"/>
    </row>
    <row r="14" spans="2:20" ht="409.6" customHeight="1" x14ac:dyDescent="0.2">
      <c r="B14" s="495" t="s">
        <v>14</v>
      </c>
      <c r="C14" s="496"/>
      <c r="D14" s="496"/>
      <c r="E14" s="497"/>
      <c r="F14" s="501" t="s">
        <v>354</v>
      </c>
      <c r="G14" s="502"/>
      <c r="H14" s="502"/>
      <c r="I14" s="503"/>
      <c r="J14" s="501" t="s">
        <v>433</v>
      </c>
      <c r="K14" s="502"/>
      <c r="L14" s="502"/>
      <c r="M14" s="502"/>
      <c r="N14" s="503"/>
      <c r="O14" s="501" t="s">
        <v>438</v>
      </c>
      <c r="P14" s="502"/>
      <c r="Q14" s="503"/>
      <c r="R14" s="535" t="s">
        <v>484</v>
      </c>
      <c r="S14" s="536"/>
      <c r="T14" s="537"/>
    </row>
    <row r="15" spans="2:20" ht="241.9" customHeight="1" x14ac:dyDescent="0.2">
      <c r="B15" s="510"/>
      <c r="C15" s="511"/>
      <c r="D15" s="511"/>
      <c r="E15" s="512"/>
      <c r="F15" s="507"/>
      <c r="G15" s="508"/>
      <c r="H15" s="508"/>
      <c r="I15" s="509"/>
      <c r="J15" s="507"/>
      <c r="K15" s="508"/>
      <c r="L15" s="508"/>
      <c r="M15" s="508"/>
      <c r="N15" s="509"/>
      <c r="O15" s="507"/>
      <c r="P15" s="508"/>
      <c r="Q15" s="509"/>
      <c r="R15" s="561"/>
      <c r="S15" s="562"/>
      <c r="T15" s="563"/>
    </row>
    <row r="16" spans="2:20" ht="409.6" customHeight="1" x14ac:dyDescent="0.2">
      <c r="B16" s="495" t="s">
        <v>15</v>
      </c>
      <c r="C16" s="496"/>
      <c r="D16" s="496"/>
      <c r="E16" s="497"/>
      <c r="F16" s="501" t="s">
        <v>452</v>
      </c>
      <c r="G16" s="502"/>
      <c r="H16" s="502"/>
      <c r="I16" s="503"/>
      <c r="J16" s="501" t="s">
        <v>117</v>
      </c>
      <c r="K16" s="502"/>
      <c r="L16" s="502"/>
      <c r="M16" s="502"/>
      <c r="N16" s="503"/>
      <c r="O16" s="501" t="s">
        <v>432</v>
      </c>
      <c r="P16" s="502"/>
      <c r="Q16" s="503"/>
      <c r="R16" s="402" t="s">
        <v>485</v>
      </c>
      <c r="S16" s="403"/>
      <c r="T16" s="404"/>
    </row>
    <row r="17" spans="2:20" ht="409.6" customHeight="1" x14ac:dyDescent="0.2">
      <c r="B17" s="510"/>
      <c r="C17" s="511"/>
      <c r="D17" s="511"/>
      <c r="E17" s="512"/>
      <c r="F17" s="507"/>
      <c r="G17" s="508"/>
      <c r="H17" s="508"/>
      <c r="I17" s="509"/>
      <c r="J17" s="507"/>
      <c r="K17" s="508"/>
      <c r="L17" s="508"/>
      <c r="M17" s="508"/>
      <c r="N17" s="509"/>
      <c r="O17" s="507"/>
      <c r="P17" s="508"/>
      <c r="Q17" s="509"/>
      <c r="R17" s="405"/>
      <c r="S17" s="429"/>
      <c r="T17" s="407"/>
    </row>
    <row r="18" spans="2:20" ht="30.6" customHeight="1" x14ac:dyDescent="0.2">
      <c r="B18" s="498"/>
      <c r="C18" s="499"/>
      <c r="D18" s="499"/>
      <c r="E18" s="500"/>
      <c r="F18" s="504"/>
      <c r="G18" s="505"/>
      <c r="H18" s="505"/>
      <c r="I18" s="506"/>
      <c r="J18" s="504"/>
      <c r="K18" s="505"/>
      <c r="L18" s="505"/>
      <c r="M18" s="505"/>
      <c r="N18" s="506"/>
      <c r="O18" s="504"/>
      <c r="P18" s="505"/>
      <c r="Q18" s="506"/>
      <c r="R18" s="430"/>
      <c r="S18" s="431"/>
      <c r="T18" s="432"/>
    </row>
    <row r="19" spans="2:20" ht="409.6" customHeight="1" x14ac:dyDescent="0.2">
      <c r="B19" s="495" t="s">
        <v>16</v>
      </c>
      <c r="C19" s="496"/>
      <c r="D19" s="496"/>
      <c r="E19" s="497"/>
      <c r="F19" s="501" t="s">
        <v>431</v>
      </c>
      <c r="G19" s="502"/>
      <c r="H19" s="502"/>
      <c r="I19" s="503"/>
      <c r="J19" s="501" t="s">
        <v>429</v>
      </c>
      <c r="K19" s="502"/>
      <c r="L19" s="502"/>
      <c r="M19" s="502"/>
      <c r="N19" s="503"/>
      <c r="O19" s="402" t="s">
        <v>430</v>
      </c>
      <c r="P19" s="403"/>
      <c r="Q19" s="404"/>
      <c r="R19" s="541"/>
      <c r="S19" s="542"/>
      <c r="T19" s="543"/>
    </row>
    <row r="20" spans="2:20" ht="409.6" customHeight="1" x14ac:dyDescent="0.2">
      <c r="B20" s="510"/>
      <c r="C20" s="511"/>
      <c r="D20" s="511"/>
      <c r="E20" s="512"/>
      <c r="F20" s="507"/>
      <c r="G20" s="508"/>
      <c r="H20" s="508"/>
      <c r="I20" s="509"/>
      <c r="J20" s="507"/>
      <c r="K20" s="508"/>
      <c r="L20" s="508"/>
      <c r="M20" s="508"/>
      <c r="N20" s="509"/>
      <c r="O20" s="405"/>
      <c r="P20" s="429"/>
      <c r="Q20" s="407"/>
      <c r="R20" s="544"/>
      <c r="S20" s="545"/>
      <c r="T20" s="546"/>
    </row>
    <row r="21" spans="2:20" ht="409.6" customHeight="1" x14ac:dyDescent="0.2">
      <c r="B21" s="510"/>
      <c r="C21" s="511"/>
      <c r="D21" s="511"/>
      <c r="E21" s="512"/>
      <c r="F21" s="507"/>
      <c r="G21" s="508"/>
      <c r="H21" s="508"/>
      <c r="I21" s="509"/>
      <c r="J21" s="507"/>
      <c r="K21" s="508"/>
      <c r="L21" s="508"/>
      <c r="M21" s="508"/>
      <c r="N21" s="509"/>
      <c r="O21" s="405"/>
      <c r="P21" s="429"/>
      <c r="Q21" s="407"/>
      <c r="R21" s="544"/>
      <c r="S21" s="545"/>
      <c r="T21" s="546"/>
    </row>
    <row r="22" spans="2:20" ht="200.45" customHeight="1" x14ac:dyDescent="0.2">
      <c r="B22" s="498"/>
      <c r="C22" s="499"/>
      <c r="D22" s="499"/>
      <c r="E22" s="500"/>
      <c r="F22" s="504"/>
      <c r="G22" s="505"/>
      <c r="H22" s="505"/>
      <c r="I22" s="506"/>
      <c r="J22" s="504"/>
      <c r="K22" s="505"/>
      <c r="L22" s="505"/>
      <c r="M22" s="505"/>
      <c r="N22" s="506"/>
      <c r="O22" s="430"/>
      <c r="P22" s="431"/>
      <c r="Q22" s="432"/>
      <c r="R22" s="547"/>
      <c r="S22" s="548"/>
      <c r="T22" s="549"/>
    </row>
    <row r="23" spans="2:20" ht="107.45" customHeight="1" x14ac:dyDescent="0.2">
      <c r="B23" s="495" t="s">
        <v>17</v>
      </c>
      <c r="C23" s="496"/>
      <c r="D23" s="496"/>
      <c r="E23" s="497"/>
      <c r="F23" s="501" t="s">
        <v>439</v>
      </c>
      <c r="G23" s="502"/>
      <c r="H23" s="502"/>
      <c r="I23" s="503"/>
      <c r="J23" s="520" t="s">
        <v>18</v>
      </c>
      <c r="K23" s="521"/>
      <c r="L23" s="521"/>
      <c r="M23" s="521"/>
      <c r="N23" s="522"/>
      <c r="O23" s="501" t="s">
        <v>441</v>
      </c>
      <c r="P23" s="502"/>
      <c r="Q23" s="503"/>
      <c r="R23" s="501" t="s">
        <v>442</v>
      </c>
      <c r="S23" s="502"/>
      <c r="T23" s="503"/>
    </row>
    <row r="24" spans="2:20" ht="409.6" customHeight="1" x14ac:dyDescent="0.2">
      <c r="B24" s="510"/>
      <c r="C24" s="511"/>
      <c r="D24" s="511"/>
      <c r="E24" s="512"/>
      <c r="F24" s="507"/>
      <c r="G24" s="508"/>
      <c r="H24" s="508"/>
      <c r="I24" s="509"/>
      <c r="J24" s="501" t="s">
        <v>440</v>
      </c>
      <c r="K24" s="502"/>
      <c r="L24" s="502"/>
      <c r="M24" s="502"/>
      <c r="N24" s="503"/>
      <c r="O24" s="507"/>
      <c r="P24" s="508"/>
      <c r="Q24" s="509"/>
      <c r="R24" s="507"/>
      <c r="S24" s="508"/>
      <c r="T24" s="509"/>
    </row>
    <row r="25" spans="2:20" ht="409.6" customHeight="1" x14ac:dyDescent="0.2">
      <c r="B25" s="510"/>
      <c r="C25" s="511"/>
      <c r="D25" s="511"/>
      <c r="E25" s="512"/>
      <c r="F25" s="507"/>
      <c r="G25" s="508"/>
      <c r="H25" s="508"/>
      <c r="I25" s="509"/>
      <c r="J25" s="507"/>
      <c r="K25" s="508"/>
      <c r="L25" s="508"/>
      <c r="M25" s="508"/>
      <c r="N25" s="509"/>
      <c r="O25" s="507"/>
      <c r="P25" s="508"/>
      <c r="Q25" s="509"/>
      <c r="R25" s="507"/>
      <c r="S25" s="508"/>
      <c r="T25" s="509"/>
    </row>
    <row r="26" spans="2:20" ht="409.6" customHeight="1" x14ac:dyDescent="0.2">
      <c r="B26" s="510"/>
      <c r="C26" s="511"/>
      <c r="D26" s="511"/>
      <c r="E26" s="512"/>
      <c r="F26" s="507"/>
      <c r="G26" s="508"/>
      <c r="H26" s="508"/>
      <c r="I26" s="509"/>
      <c r="J26" s="507"/>
      <c r="K26" s="508"/>
      <c r="L26" s="508"/>
      <c r="M26" s="508"/>
      <c r="N26" s="509"/>
      <c r="O26" s="507"/>
      <c r="P26" s="508"/>
      <c r="Q26" s="509"/>
      <c r="R26" s="507"/>
      <c r="S26" s="508"/>
      <c r="T26" s="509"/>
    </row>
    <row r="27" spans="2:20" ht="144" customHeight="1" x14ac:dyDescent="0.2">
      <c r="B27" s="498"/>
      <c r="C27" s="499"/>
      <c r="D27" s="499"/>
      <c r="E27" s="500"/>
      <c r="F27" s="504"/>
      <c r="G27" s="505"/>
      <c r="H27" s="505"/>
      <c r="I27" s="506"/>
      <c r="J27" s="504"/>
      <c r="K27" s="505"/>
      <c r="L27" s="505"/>
      <c r="M27" s="505"/>
      <c r="N27" s="506"/>
      <c r="O27" s="504"/>
      <c r="P27" s="505"/>
      <c r="Q27" s="506"/>
      <c r="R27" s="504"/>
      <c r="S27" s="505"/>
      <c r="T27" s="506"/>
    </row>
    <row r="28" spans="2:20" ht="82.5" customHeight="1" x14ac:dyDescent="0.2">
      <c r="B28" s="519" t="s">
        <v>19</v>
      </c>
      <c r="C28" s="519"/>
      <c r="D28" s="519"/>
      <c r="E28" s="519"/>
      <c r="F28" s="520" t="s">
        <v>443</v>
      </c>
      <c r="G28" s="521"/>
      <c r="H28" s="521"/>
      <c r="I28" s="522"/>
      <c r="J28" s="550" t="s">
        <v>118</v>
      </c>
      <c r="K28" s="550"/>
      <c r="L28" s="550"/>
      <c r="M28" s="550"/>
      <c r="N28" s="550"/>
      <c r="O28" s="520" t="s">
        <v>119</v>
      </c>
      <c r="P28" s="521"/>
      <c r="Q28" s="522"/>
      <c r="R28" s="513"/>
      <c r="S28" s="514"/>
      <c r="T28" s="515"/>
    </row>
    <row r="29" spans="2:20" ht="133.9" customHeight="1" x14ac:dyDescent="0.2">
      <c r="B29" s="519" t="s">
        <v>20</v>
      </c>
      <c r="C29" s="519"/>
      <c r="D29" s="519"/>
      <c r="E29" s="519"/>
      <c r="F29" s="501" t="s">
        <v>445</v>
      </c>
      <c r="G29" s="502"/>
      <c r="H29" s="502"/>
      <c r="I29" s="503"/>
      <c r="J29" s="520" t="s">
        <v>446</v>
      </c>
      <c r="K29" s="521"/>
      <c r="L29" s="521"/>
      <c r="M29" s="521"/>
      <c r="N29" s="522"/>
      <c r="O29" s="520" t="s">
        <v>444</v>
      </c>
      <c r="P29" s="521"/>
      <c r="Q29" s="521"/>
      <c r="R29" s="361" t="s">
        <v>486</v>
      </c>
      <c r="S29" s="514"/>
      <c r="T29" s="515"/>
    </row>
    <row r="30" spans="2:20" ht="237.6" customHeight="1" x14ac:dyDescent="0.2">
      <c r="B30" s="519" t="s">
        <v>21</v>
      </c>
      <c r="C30" s="519"/>
      <c r="D30" s="519"/>
      <c r="E30" s="519"/>
      <c r="F30" s="513"/>
      <c r="G30" s="514"/>
      <c r="H30" s="514"/>
      <c r="I30" s="515"/>
      <c r="J30" s="523"/>
      <c r="K30" s="523"/>
      <c r="L30" s="523"/>
      <c r="M30" s="523"/>
      <c r="N30" s="523"/>
      <c r="O30" s="520" t="s">
        <v>447</v>
      </c>
      <c r="P30" s="521"/>
      <c r="Q30" s="522"/>
      <c r="R30" s="513"/>
      <c r="S30" s="514"/>
      <c r="T30" s="515"/>
    </row>
    <row r="31" spans="2:20" ht="409.6" customHeight="1" x14ac:dyDescent="0.2">
      <c r="B31" s="495" t="s">
        <v>22</v>
      </c>
      <c r="C31" s="496"/>
      <c r="D31" s="496"/>
      <c r="E31" s="497"/>
      <c r="F31" s="501" t="s">
        <v>355</v>
      </c>
      <c r="G31" s="502"/>
      <c r="H31" s="502"/>
      <c r="I31" s="503"/>
      <c r="J31" s="501" t="s">
        <v>448</v>
      </c>
      <c r="K31" s="502"/>
      <c r="L31" s="502"/>
      <c r="M31" s="502"/>
      <c r="N31" s="503"/>
      <c r="O31" s="501" t="s">
        <v>121</v>
      </c>
      <c r="P31" s="502"/>
      <c r="Q31" s="503"/>
      <c r="R31" s="501" t="s">
        <v>120</v>
      </c>
      <c r="S31" s="502"/>
      <c r="T31" s="503"/>
    </row>
    <row r="32" spans="2:20" ht="15" customHeight="1" x14ac:dyDescent="0.2">
      <c r="B32" s="498"/>
      <c r="C32" s="499"/>
      <c r="D32" s="499"/>
      <c r="E32" s="500"/>
      <c r="F32" s="504"/>
      <c r="G32" s="505"/>
      <c r="H32" s="505"/>
      <c r="I32" s="506"/>
      <c r="J32" s="504"/>
      <c r="K32" s="505"/>
      <c r="L32" s="505"/>
      <c r="M32" s="505"/>
      <c r="N32" s="506"/>
      <c r="O32" s="504"/>
      <c r="P32" s="505"/>
      <c r="Q32" s="506"/>
      <c r="R32" s="504"/>
      <c r="S32" s="505"/>
      <c r="T32" s="506"/>
    </row>
    <row r="33" spans="2:20" ht="409.15" customHeight="1" x14ac:dyDescent="0.2">
      <c r="B33" s="495" t="s">
        <v>23</v>
      </c>
      <c r="C33" s="496"/>
      <c r="D33" s="496"/>
      <c r="E33" s="497"/>
      <c r="F33" s="501" t="s">
        <v>449</v>
      </c>
      <c r="G33" s="502"/>
      <c r="H33" s="502"/>
      <c r="I33" s="503"/>
      <c r="J33" s="402" t="s">
        <v>450</v>
      </c>
      <c r="K33" s="403"/>
      <c r="L33" s="403"/>
      <c r="M33" s="403"/>
      <c r="N33" s="404"/>
      <c r="O33" s="402" t="s">
        <v>451</v>
      </c>
      <c r="P33" s="403"/>
      <c r="Q33" s="404"/>
      <c r="R33" s="402"/>
      <c r="S33" s="403"/>
      <c r="T33" s="404"/>
    </row>
    <row r="34" spans="2:20" ht="79.900000000000006" customHeight="1" x14ac:dyDescent="0.2">
      <c r="B34" s="498"/>
      <c r="C34" s="499"/>
      <c r="D34" s="499"/>
      <c r="E34" s="500"/>
      <c r="F34" s="504"/>
      <c r="G34" s="505"/>
      <c r="H34" s="505"/>
      <c r="I34" s="506"/>
      <c r="J34" s="430"/>
      <c r="K34" s="431"/>
      <c r="L34" s="431"/>
      <c r="M34" s="431"/>
      <c r="N34" s="432"/>
      <c r="O34" s="430"/>
      <c r="P34" s="431"/>
      <c r="Q34" s="432"/>
      <c r="R34" s="430"/>
      <c r="S34" s="431"/>
      <c r="T34" s="432"/>
    </row>
    <row r="35" spans="2:20" ht="409.6" customHeight="1" x14ac:dyDescent="0.2">
      <c r="B35" s="519" t="s">
        <v>24</v>
      </c>
      <c r="C35" s="519"/>
      <c r="D35" s="519"/>
      <c r="E35" s="519"/>
      <c r="F35" s="391"/>
      <c r="G35" s="391"/>
      <c r="H35" s="391"/>
      <c r="I35" s="391"/>
      <c r="J35" s="391" t="s">
        <v>122</v>
      </c>
      <c r="K35" s="391"/>
      <c r="L35" s="391"/>
      <c r="M35" s="391"/>
      <c r="N35" s="391"/>
      <c r="O35" s="492" t="s">
        <v>487</v>
      </c>
      <c r="P35" s="492"/>
      <c r="Q35" s="492"/>
      <c r="R35" s="391"/>
      <c r="S35" s="391"/>
      <c r="T35" s="391"/>
    </row>
    <row r="36" spans="2:20" ht="206.45" customHeight="1" x14ac:dyDescent="0.2">
      <c r="B36" s="519"/>
      <c r="C36" s="519"/>
      <c r="D36" s="519"/>
      <c r="E36" s="519"/>
      <c r="F36" s="391"/>
      <c r="G36" s="391"/>
      <c r="H36" s="391"/>
      <c r="I36" s="391"/>
      <c r="J36" s="391"/>
      <c r="K36" s="391"/>
      <c r="L36" s="391"/>
      <c r="M36" s="391"/>
      <c r="N36" s="391"/>
      <c r="O36" s="492"/>
      <c r="P36" s="492"/>
      <c r="Q36" s="492"/>
      <c r="R36" s="391"/>
      <c r="S36" s="391"/>
      <c r="T36" s="391"/>
    </row>
    <row r="37" spans="2:20" ht="30" customHeight="1" x14ac:dyDescent="0.2">
      <c r="B37" s="516" t="s">
        <v>109</v>
      </c>
      <c r="C37" s="517"/>
      <c r="D37" s="517"/>
      <c r="E37" s="517"/>
      <c r="F37" s="517"/>
      <c r="G37" s="517"/>
      <c r="H37" s="517"/>
      <c r="I37" s="517"/>
      <c r="J37" s="517"/>
      <c r="K37" s="517"/>
      <c r="L37" s="517"/>
      <c r="M37" s="517"/>
      <c r="N37" s="517"/>
      <c r="O37" s="517"/>
      <c r="P37" s="517"/>
      <c r="Q37" s="517"/>
      <c r="R37" s="517"/>
      <c r="S37" s="517"/>
      <c r="T37" s="518"/>
    </row>
    <row r="38" spans="2:20" ht="22.5" customHeight="1" x14ac:dyDescent="0.2">
      <c r="B38" s="365" t="s">
        <v>25</v>
      </c>
      <c r="C38" s="534"/>
      <c r="D38" s="534"/>
      <c r="E38" s="534"/>
      <c r="F38" s="534"/>
      <c r="G38" s="534"/>
      <c r="H38" s="366"/>
      <c r="I38" s="365" t="s">
        <v>26</v>
      </c>
      <c r="J38" s="366"/>
      <c r="K38" s="365" t="s">
        <v>4</v>
      </c>
      <c r="L38" s="366"/>
      <c r="M38" s="365" t="s">
        <v>27</v>
      </c>
      <c r="N38" s="534"/>
      <c r="O38" s="534"/>
      <c r="P38" s="534"/>
      <c r="Q38" s="534"/>
      <c r="R38" s="366"/>
      <c r="S38" s="365" t="s">
        <v>4</v>
      </c>
      <c r="T38" s="366"/>
    </row>
    <row r="39" spans="2:20" ht="57" customHeight="1" x14ac:dyDescent="0.2">
      <c r="B39" s="575" t="s">
        <v>1114</v>
      </c>
      <c r="C39" s="576"/>
      <c r="D39" s="576"/>
      <c r="E39" s="576"/>
      <c r="F39" s="576"/>
      <c r="G39" s="576"/>
      <c r="H39" s="577"/>
      <c r="I39" s="728" t="s">
        <v>1115</v>
      </c>
      <c r="J39" s="728"/>
      <c r="K39" s="729">
        <v>44167</v>
      </c>
      <c r="L39" s="729"/>
      <c r="M39" s="391" t="s">
        <v>738</v>
      </c>
      <c r="N39" s="391"/>
      <c r="O39" s="391"/>
      <c r="P39" s="391"/>
      <c r="Q39" s="391"/>
      <c r="R39" s="391"/>
      <c r="S39" s="292"/>
      <c r="T39" s="293"/>
    </row>
    <row r="40" spans="2:20" ht="57" customHeight="1" x14ac:dyDescent="0.2">
      <c r="B40" s="575" t="s">
        <v>1373</v>
      </c>
      <c r="C40" s="576"/>
      <c r="D40" s="576"/>
      <c r="E40" s="576"/>
      <c r="F40" s="576"/>
      <c r="G40" s="576"/>
      <c r="H40" s="577"/>
      <c r="I40" s="728" t="s">
        <v>1374</v>
      </c>
      <c r="J40" s="728"/>
      <c r="K40" s="729">
        <v>44176</v>
      </c>
      <c r="L40" s="729"/>
      <c r="M40" s="391" t="s">
        <v>738</v>
      </c>
      <c r="N40" s="391"/>
      <c r="O40" s="391"/>
      <c r="P40" s="391"/>
      <c r="Q40" s="391"/>
      <c r="R40" s="391"/>
      <c r="S40" s="349"/>
      <c r="T40" s="350"/>
    </row>
    <row r="41" spans="2:20" ht="57" customHeight="1" x14ac:dyDescent="0.2">
      <c r="B41" s="575" t="s">
        <v>1172</v>
      </c>
      <c r="C41" s="576"/>
      <c r="D41" s="576"/>
      <c r="E41" s="576"/>
      <c r="F41" s="576"/>
      <c r="G41" s="576"/>
      <c r="H41" s="577"/>
      <c r="I41" s="728" t="s">
        <v>1173</v>
      </c>
      <c r="J41" s="728"/>
      <c r="K41" s="729">
        <v>44186</v>
      </c>
      <c r="L41" s="729"/>
      <c r="M41" s="391" t="s">
        <v>738</v>
      </c>
      <c r="N41" s="391"/>
      <c r="O41" s="391"/>
      <c r="P41" s="391"/>
      <c r="Q41" s="391"/>
      <c r="R41" s="391"/>
      <c r="S41" s="292"/>
      <c r="T41" s="293"/>
    </row>
    <row r="42" spans="2:20" ht="57" customHeight="1" x14ac:dyDescent="0.2">
      <c r="B42" s="575" t="s">
        <v>1116</v>
      </c>
      <c r="C42" s="576"/>
      <c r="D42" s="576"/>
      <c r="E42" s="576"/>
      <c r="F42" s="576"/>
      <c r="G42" s="576"/>
      <c r="H42" s="577"/>
      <c r="I42" s="728" t="s">
        <v>1117</v>
      </c>
      <c r="J42" s="728"/>
      <c r="K42" s="729">
        <v>44174</v>
      </c>
      <c r="L42" s="729"/>
      <c r="M42" s="391" t="s">
        <v>738</v>
      </c>
      <c r="N42" s="391"/>
      <c r="O42" s="391"/>
      <c r="P42" s="391"/>
      <c r="Q42" s="391"/>
      <c r="R42" s="391"/>
      <c r="S42" s="292"/>
      <c r="T42" s="293"/>
    </row>
    <row r="43" spans="2:20" ht="64.5" customHeight="1" x14ac:dyDescent="0.2">
      <c r="B43" s="575" t="s">
        <v>1118</v>
      </c>
      <c r="C43" s="576"/>
      <c r="D43" s="576"/>
      <c r="E43" s="576"/>
      <c r="F43" s="576"/>
      <c r="G43" s="576"/>
      <c r="H43" s="577"/>
      <c r="I43" s="728" t="s">
        <v>1119</v>
      </c>
      <c r="J43" s="728"/>
      <c r="K43" s="729">
        <v>44174</v>
      </c>
      <c r="L43" s="729"/>
      <c r="M43" s="391" t="s">
        <v>738</v>
      </c>
      <c r="N43" s="391"/>
      <c r="O43" s="391"/>
      <c r="P43" s="391"/>
      <c r="Q43" s="391"/>
      <c r="R43" s="391"/>
      <c r="S43" s="138"/>
      <c r="T43" s="139"/>
    </row>
    <row r="44" spans="2:20" ht="47.25" customHeight="1" x14ac:dyDescent="0.2">
      <c r="B44" s="575" t="s">
        <v>1170</v>
      </c>
      <c r="C44" s="576"/>
      <c r="D44" s="576"/>
      <c r="E44" s="576"/>
      <c r="F44" s="576"/>
      <c r="G44" s="576"/>
      <c r="H44" s="577"/>
      <c r="I44" s="728" t="s">
        <v>1171</v>
      </c>
      <c r="J44" s="728"/>
      <c r="K44" s="729">
        <v>44186</v>
      </c>
      <c r="L44" s="729"/>
      <c r="M44" s="391" t="s">
        <v>738</v>
      </c>
      <c r="N44" s="391"/>
      <c r="O44" s="391"/>
      <c r="P44" s="391"/>
      <c r="Q44" s="391"/>
      <c r="R44" s="391"/>
      <c r="S44" s="319"/>
      <c r="T44" s="320"/>
    </row>
    <row r="45" spans="2:20" ht="47.25" customHeight="1" x14ac:dyDescent="0.2">
      <c r="B45" s="575" t="s">
        <v>1168</v>
      </c>
      <c r="C45" s="576"/>
      <c r="D45" s="576"/>
      <c r="E45" s="576"/>
      <c r="F45" s="576"/>
      <c r="G45" s="576"/>
      <c r="H45" s="577"/>
      <c r="I45" s="728" t="s">
        <v>1169</v>
      </c>
      <c r="J45" s="728"/>
      <c r="K45" s="729">
        <v>44186</v>
      </c>
      <c r="L45" s="729"/>
      <c r="M45" s="391" t="s">
        <v>738</v>
      </c>
      <c r="N45" s="391"/>
      <c r="O45" s="391"/>
      <c r="P45" s="391"/>
      <c r="Q45" s="391"/>
      <c r="R45" s="391"/>
      <c r="S45" s="319"/>
      <c r="T45" s="320"/>
    </row>
    <row r="46" spans="2:20" ht="47.25" customHeight="1" x14ac:dyDescent="0.2">
      <c r="B46" s="575" t="s">
        <v>1166</v>
      </c>
      <c r="C46" s="576"/>
      <c r="D46" s="576"/>
      <c r="E46" s="576"/>
      <c r="F46" s="576"/>
      <c r="G46" s="576"/>
      <c r="H46" s="577"/>
      <c r="I46" s="728" t="s">
        <v>1167</v>
      </c>
      <c r="J46" s="728"/>
      <c r="K46" s="729">
        <v>44186</v>
      </c>
      <c r="L46" s="729"/>
      <c r="M46" s="391" t="s">
        <v>738</v>
      </c>
      <c r="N46" s="391"/>
      <c r="O46" s="391"/>
      <c r="P46" s="391"/>
      <c r="Q46" s="391"/>
      <c r="R46" s="391"/>
      <c r="S46" s="319"/>
      <c r="T46" s="320"/>
    </row>
    <row r="47" spans="2:20" ht="47.25" customHeight="1" x14ac:dyDescent="0.2">
      <c r="B47" s="575" t="s">
        <v>1375</v>
      </c>
      <c r="C47" s="576"/>
      <c r="D47" s="576"/>
      <c r="E47" s="576"/>
      <c r="F47" s="576"/>
      <c r="G47" s="576"/>
      <c r="H47" s="577"/>
      <c r="I47" s="728" t="s">
        <v>1376</v>
      </c>
      <c r="J47" s="728"/>
      <c r="K47" s="729">
        <v>44186</v>
      </c>
      <c r="L47" s="729"/>
      <c r="M47" s="391" t="s">
        <v>738</v>
      </c>
      <c r="N47" s="391"/>
      <c r="O47" s="391"/>
      <c r="P47" s="391"/>
      <c r="Q47" s="391"/>
      <c r="R47" s="391"/>
      <c r="S47" s="349"/>
      <c r="T47" s="350"/>
    </row>
    <row r="48" spans="2:20" ht="37.5" customHeight="1" x14ac:dyDescent="0.2">
      <c r="B48" s="575" t="s">
        <v>1164</v>
      </c>
      <c r="C48" s="576"/>
      <c r="D48" s="576"/>
      <c r="E48" s="576"/>
      <c r="F48" s="576"/>
      <c r="G48" s="576"/>
      <c r="H48" s="577"/>
      <c r="I48" s="728" t="s">
        <v>1165</v>
      </c>
      <c r="J48" s="728"/>
      <c r="K48" s="729">
        <v>44186</v>
      </c>
      <c r="L48" s="729"/>
      <c r="M48" s="391" t="s">
        <v>738</v>
      </c>
      <c r="N48" s="391"/>
      <c r="O48" s="391"/>
      <c r="P48" s="391"/>
      <c r="Q48" s="391"/>
      <c r="R48" s="391"/>
      <c r="S48" s="138"/>
      <c r="T48" s="139"/>
    </row>
    <row r="49" spans="2:20" ht="14.25" customHeight="1" x14ac:dyDescent="0.2">
      <c r="B49" s="42"/>
      <c r="C49" s="43"/>
      <c r="D49" s="43"/>
      <c r="E49" s="43"/>
      <c r="F49" s="43"/>
      <c r="G49" s="43"/>
      <c r="H49" s="43"/>
      <c r="I49" s="43"/>
      <c r="J49" s="43"/>
      <c r="K49" s="43"/>
      <c r="L49" s="43"/>
      <c r="M49" s="43"/>
      <c r="N49" s="43"/>
      <c r="O49" s="43"/>
      <c r="P49" s="43"/>
      <c r="Q49" s="43"/>
      <c r="R49" s="43"/>
      <c r="S49" s="43"/>
      <c r="T49" s="44"/>
    </row>
    <row r="50" spans="2:20" ht="22.5" customHeight="1" x14ac:dyDescent="0.2">
      <c r="B50" s="527" t="s">
        <v>28</v>
      </c>
      <c r="C50" s="527"/>
      <c r="D50" s="527"/>
      <c r="E50" s="527"/>
      <c r="F50" s="527"/>
      <c r="G50" s="527"/>
      <c r="H50" s="527"/>
      <c r="I50" s="527"/>
      <c r="J50" s="527"/>
      <c r="K50" s="527"/>
      <c r="L50" s="527"/>
      <c r="M50" s="527"/>
      <c r="N50" s="527"/>
      <c r="O50" s="527"/>
      <c r="P50" s="527"/>
      <c r="Q50" s="527"/>
      <c r="R50" s="527"/>
      <c r="S50" s="527"/>
      <c r="T50" s="527"/>
    </row>
    <row r="51" spans="2:20" customFormat="1" ht="25.5" customHeight="1" x14ac:dyDescent="0.25">
      <c r="B51" s="397" t="s">
        <v>124</v>
      </c>
      <c r="C51" s="399"/>
      <c r="D51" s="399"/>
      <c r="E51" s="399"/>
      <c r="F51" s="399"/>
      <c r="G51" s="399"/>
      <c r="H51" s="399"/>
      <c r="I51" s="399"/>
      <c r="J51" s="399"/>
      <c r="K51" s="399"/>
      <c r="L51" s="399"/>
      <c r="M51" s="399"/>
      <c r="N51" s="399"/>
      <c r="O51" s="399"/>
      <c r="P51" s="399"/>
      <c r="Q51" s="399"/>
      <c r="R51" s="399"/>
      <c r="S51" s="399"/>
      <c r="T51" s="398"/>
    </row>
    <row r="52" spans="2:20" customFormat="1" ht="34.5" customHeight="1" x14ac:dyDescent="0.25">
      <c r="B52" s="52" t="s">
        <v>29</v>
      </c>
      <c r="C52" s="392" t="s">
        <v>125</v>
      </c>
      <c r="D52" s="394"/>
      <c r="E52" s="392" t="s">
        <v>356</v>
      </c>
      <c r="F52" s="393"/>
      <c r="G52" s="393"/>
      <c r="H52" s="394"/>
      <c r="I52" s="392" t="s">
        <v>30</v>
      </c>
      <c r="J52" s="393"/>
      <c r="K52" s="393"/>
      <c r="L52" s="393"/>
      <c r="M52" s="393"/>
      <c r="N52" s="393"/>
      <c r="O52" s="393"/>
      <c r="P52" s="393"/>
      <c r="Q52" s="393"/>
      <c r="R52" s="394"/>
      <c r="S52" s="392" t="s">
        <v>31</v>
      </c>
      <c r="T52" s="394"/>
    </row>
    <row r="53" spans="2:20" customFormat="1" ht="48" customHeight="1" x14ac:dyDescent="0.25">
      <c r="B53" s="450" t="s">
        <v>32</v>
      </c>
      <c r="C53" s="450" t="s">
        <v>123</v>
      </c>
      <c r="D53" s="450"/>
      <c r="E53" s="493" t="s">
        <v>357</v>
      </c>
      <c r="F53" s="493"/>
      <c r="G53" s="493"/>
      <c r="H53" s="493"/>
      <c r="I53" s="477" t="s">
        <v>573</v>
      </c>
      <c r="J53" s="477"/>
      <c r="K53" s="477"/>
      <c r="L53" s="477"/>
      <c r="M53" s="477"/>
      <c r="N53" s="477"/>
      <c r="O53" s="477"/>
      <c r="P53" s="477"/>
      <c r="Q53" s="477"/>
      <c r="R53" s="477"/>
      <c r="S53" s="478">
        <v>1</v>
      </c>
      <c r="T53" s="494"/>
    </row>
    <row r="54" spans="2:20" customFormat="1" ht="58.9" customHeight="1" x14ac:dyDescent="0.25">
      <c r="B54" s="450"/>
      <c r="C54" s="450"/>
      <c r="D54" s="450"/>
      <c r="E54" s="493" t="s">
        <v>358</v>
      </c>
      <c r="F54" s="493"/>
      <c r="G54" s="493"/>
      <c r="H54" s="493"/>
      <c r="I54" s="477" t="s">
        <v>574</v>
      </c>
      <c r="J54" s="477"/>
      <c r="K54" s="477"/>
      <c r="L54" s="477"/>
      <c r="M54" s="477"/>
      <c r="N54" s="477"/>
      <c r="O54" s="477"/>
      <c r="P54" s="477"/>
      <c r="Q54" s="477"/>
      <c r="R54" s="477"/>
      <c r="S54" s="478">
        <v>1</v>
      </c>
      <c r="T54" s="494"/>
    </row>
    <row r="55" spans="2:20" customFormat="1" ht="66" customHeight="1" x14ac:dyDescent="0.25">
      <c r="B55" s="450"/>
      <c r="C55" s="450"/>
      <c r="D55" s="450"/>
      <c r="E55" s="493" t="s">
        <v>359</v>
      </c>
      <c r="F55" s="493"/>
      <c r="G55" s="493"/>
      <c r="H55" s="493"/>
      <c r="I55" s="477" t="s">
        <v>413</v>
      </c>
      <c r="J55" s="477"/>
      <c r="K55" s="477"/>
      <c r="L55" s="477"/>
      <c r="M55" s="477"/>
      <c r="N55" s="477"/>
      <c r="O55" s="477"/>
      <c r="P55" s="477"/>
      <c r="Q55" s="477"/>
      <c r="R55" s="477"/>
      <c r="S55" s="478">
        <v>1</v>
      </c>
      <c r="T55" s="494"/>
    </row>
    <row r="56" spans="2:20" s="72" customFormat="1" ht="63.6" customHeight="1" x14ac:dyDescent="0.25">
      <c r="B56" s="450"/>
      <c r="C56" s="450"/>
      <c r="D56" s="450"/>
      <c r="E56" s="493" t="s">
        <v>1045</v>
      </c>
      <c r="F56" s="493"/>
      <c r="G56" s="493"/>
      <c r="H56" s="493"/>
      <c r="I56" s="477" t="s">
        <v>575</v>
      </c>
      <c r="J56" s="477"/>
      <c r="K56" s="477"/>
      <c r="L56" s="477"/>
      <c r="M56" s="477"/>
      <c r="N56" s="477"/>
      <c r="O56" s="477"/>
      <c r="P56" s="477"/>
      <c r="Q56" s="477"/>
      <c r="R56" s="477"/>
      <c r="S56" s="478">
        <v>1</v>
      </c>
      <c r="T56" s="494"/>
    </row>
    <row r="57" spans="2:20" customFormat="1" ht="36.6" customHeight="1" x14ac:dyDescent="0.25">
      <c r="B57" s="450"/>
      <c r="C57" s="450"/>
      <c r="D57" s="450"/>
      <c r="E57" s="493" t="s">
        <v>360</v>
      </c>
      <c r="F57" s="493"/>
      <c r="G57" s="493"/>
      <c r="H57" s="493"/>
      <c r="I57" s="477" t="s">
        <v>280</v>
      </c>
      <c r="J57" s="477"/>
      <c r="K57" s="477"/>
      <c r="L57" s="477"/>
      <c r="M57" s="477"/>
      <c r="N57" s="477"/>
      <c r="O57" s="477"/>
      <c r="P57" s="477"/>
      <c r="Q57" s="477"/>
      <c r="R57" s="477"/>
      <c r="S57" s="478">
        <v>1</v>
      </c>
      <c r="T57" s="478"/>
    </row>
    <row r="58" spans="2:20" customFormat="1" ht="73.900000000000006" customHeight="1" x14ac:dyDescent="0.25">
      <c r="B58" s="450"/>
      <c r="C58" s="450"/>
      <c r="D58" s="450"/>
      <c r="E58" s="493" t="s">
        <v>361</v>
      </c>
      <c r="F58" s="493"/>
      <c r="G58" s="493"/>
      <c r="H58" s="493"/>
      <c r="I58" s="477" t="s">
        <v>576</v>
      </c>
      <c r="J58" s="477"/>
      <c r="K58" s="477"/>
      <c r="L58" s="477"/>
      <c r="M58" s="477"/>
      <c r="N58" s="477"/>
      <c r="O58" s="477"/>
      <c r="P58" s="477"/>
      <c r="Q58" s="477"/>
      <c r="R58" s="477"/>
      <c r="S58" s="478">
        <v>1</v>
      </c>
      <c r="T58" s="494"/>
    </row>
    <row r="59" spans="2:20" customFormat="1" ht="76.150000000000006" customHeight="1" x14ac:dyDescent="0.25">
      <c r="B59" s="450"/>
      <c r="C59" s="450"/>
      <c r="D59" s="450"/>
      <c r="E59" s="493" t="s">
        <v>362</v>
      </c>
      <c r="F59" s="493"/>
      <c r="G59" s="493"/>
      <c r="H59" s="493"/>
      <c r="I59" s="477" t="s">
        <v>577</v>
      </c>
      <c r="J59" s="477"/>
      <c r="K59" s="477"/>
      <c r="L59" s="477"/>
      <c r="M59" s="477"/>
      <c r="N59" s="477"/>
      <c r="O59" s="477"/>
      <c r="P59" s="477"/>
      <c r="Q59" s="477"/>
      <c r="R59" s="477"/>
      <c r="S59" s="478">
        <v>1</v>
      </c>
      <c r="T59" s="494"/>
    </row>
    <row r="60" spans="2:20" customFormat="1" ht="101.45" customHeight="1" x14ac:dyDescent="0.25">
      <c r="B60" s="450"/>
      <c r="C60" s="450"/>
      <c r="D60" s="450"/>
      <c r="E60" s="493" t="s">
        <v>363</v>
      </c>
      <c r="F60" s="493"/>
      <c r="G60" s="493"/>
      <c r="H60" s="493"/>
      <c r="I60" s="477" t="s">
        <v>578</v>
      </c>
      <c r="J60" s="477"/>
      <c r="K60" s="477"/>
      <c r="L60" s="477"/>
      <c r="M60" s="477"/>
      <c r="N60" s="477"/>
      <c r="O60" s="477"/>
      <c r="P60" s="477"/>
      <c r="Q60" s="477"/>
      <c r="R60" s="477"/>
      <c r="S60" s="478">
        <v>1</v>
      </c>
      <c r="T60" s="494"/>
    </row>
    <row r="61" spans="2:20" customFormat="1" ht="44.45" customHeight="1" x14ac:dyDescent="0.25">
      <c r="B61" s="450"/>
      <c r="C61" s="450"/>
      <c r="D61" s="450"/>
      <c r="E61" s="493" t="s">
        <v>364</v>
      </c>
      <c r="F61" s="493"/>
      <c r="G61" s="493"/>
      <c r="H61" s="493"/>
      <c r="I61" s="477" t="s">
        <v>110</v>
      </c>
      <c r="J61" s="477"/>
      <c r="K61" s="477"/>
      <c r="L61" s="477"/>
      <c r="M61" s="477"/>
      <c r="N61" s="477"/>
      <c r="O61" s="477"/>
      <c r="P61" s="477"/>
      <c r="Q61" s="477"/>
      <c r="R61" s="477"/>
      <c r="S61" s="478">
        <v>1</v>
      </c>
      <c r="T61" s="478"/>
    </row>
    <row r="62" spans="2:20" customFormat="1" ht="55.9" customHeight="1" x14ac:dyDescent="0.25">
      <c r="B62" s="450"/>
      <c r="C62" s="450"/>
      <c r="D62" s="450"/>
      <c r="E62" s="493" t="s">
        <v>365</v>
      </c>
      <c r="F62" s="493"/>
      <c r="G62" s="493"/>
      <c r="H62" s="493"/>
      <c r="I62" s="477" t="s">
        <v>296</v>
      </c>
      <c r="J62" s="477"/>
      <c r="K62" s="477"/>
      <c r="L62" s="477"/>
      <c r="M62" s="477"/>
      <c r="N62" s="477"/>
      <c r="O62" s="477"/>
      <c r="P62" s="477"/>
      <c r="Q62" s="477"/>
      <c r="R62" s="477"/>
      <c r="S62" s="478">
        <v>1</v>
      </c>
      <c r="T62" s="494"/>
    </row>
    <row r="63" spans="2:20" customFormat="1" ht="79.900000000000006" customHeight="1" x14ac:dyDescent="0.25">
      <c r="B63" s="460"/>
      <c r="C63" s="460"/>
      <c r="D63" s="460"/>
      <c r="E63" s="476" t="s">
        <v>366</v>
      </c>
      <c r="F63" s="476"/>
      <c r="G63" s="476"/>
      <c r="H63" s="476"/>
      <c r="I63" s="744" t="s">
        <v>579</v>
      </c>
      <c r="J63" s="744"/>
      <c r="K63" s="744"/>
      <c r="L63" s="744"/>
      <c r="M63" s="744"/>
      <c r="N63" s="744"/>
      <c r="O63" s="744"/>
      <c r="P63" s="744"/>
      <c r="Q63" s="744"/>
      <c r="R63" s="744"/>
      <c r="S63" s="737">
        <v>1</v>
      </c>
      <c r="T63" s="738"/>
    </row>
    <row r="64" spans="2:20" customFormat="1" ht="80.45" customHeight="1" x14ac:dyDescent="0.25">
      <c r="B64" s="488">
        <v>2.1</v>
      </c>
      <c r="C64" s="450" t="s">
        <v>34</v>
      </c>
      <c r="D64" s="450"/>
      <c r="E64" s="493" t="s">
        <v>357</v>
      </c>
      <c r="F64" s="493"/>
      <c r="G64" s="493"/>
      <c r="H64" s="493"/>
      <c r="I64" s="477" t="s">
        <v>1042</v>
      </c>
      <c r="J64" s="477"/>
      <c r="K64" s="477"/>
      <c r="L64" s="477"/>
      <c r="M64" s="477"/>
      <c r="N64" s="477"/>
      <c r="O64" s="477"/>
      <c r="P64" s="477"/>
      <c r="Q64" s="477"/>
      <c r="R64" s="477"/>
      <c r="S64" s="478">
        <v>1</v>
      </c>
      <c r="T64" s="494"/>
    </row>
    <row r="65" spans="2:23" customFormat="1" ht="111" customHeight="1" x14ac:dyDescent="0.25">
      <c r="B65" s="488"/>
      <c r="C65" s="450"/>
      <c r="D65" s="450"/>
      <c r="E65" s="493" t="s">
        <v>580</v>
      </c>
      <c r="F65" s="493"/>
      <c r="G65" s="493"/>
      <c r="H65" s="493"/>
      <c r="I65" s="477" t="s">
        <v>414</v>
      </c>
      <c r="J65" s="477"/>
      <c r="K65" s="477"/>
      <c r="L65" s="477"/>
      <c r="M65" s="477"/>
      <c r="N65" s="477"/>
      <c r="O65" s="477"/>
      <c r="P65" s="477"/>
      <c r="Q65" s="477"/>
      <c r="R65" s="477"/>
      <c r="S65" s="478" t="s">
        <v>581</v>
      </c>
      <c r="T65" s="494"/>
      <c r="W65" s="80"/>
    </row>
    <row r="66" spans="2:23" customFormat="1" ht="106.9" customHeight="1" x14ac:dyDescent="0.25">
      <c r="B66" s="488"/>
      <c r="C66" s="450"/>
      <c r="D66" s="450"/>
      <c r="E66" s="493" t="s">
        <v>367</v>
      </c>
      <c r="F66" s="493"/>
      <c r="G66" s="493"/>
      <c r="H66" s="493"/>
      <c r="I66" s="477" t="s">
        <v>1046</v>
      </c>
      <c r="J66" s="477"/>
      <c r="K66" s="477"/>
      <c r="L66" s="477"/>
      <c r="M66" s="477"/>
      <c r="N66" s="477"/>
      <c r="O66" s="477"/>
      <c r="P66" s="477"/>
      <c r="Q66" s="477"/>
      <c r="R66" s="477"/>
      <c r="S66" s="478">
        <v>1</v>
      </c>
      <c r="T66" s="478"/>
    </row>
    <row r="67" spans="2:23" customFormat="1" ht="67.5" customHeight="1" x14ac:dyDescent="0.25">
      <c r="B67" s="488"/>
      <c r="C67" s="450"/>
      <c r="D67" s="450"/>
      <c r="E67" s="493" t="s">
        <v>368</v>
      </c>
      <c r="F67" s="493"/>
      <c r="G67" s="493"/>
      <c r="H67" s="493"/>
      <c r="I67" s="477" t="s">
        <v>1047</v>
      </c>
      <c r="J67" s="477"/>
      <c r="K67" s="477"/>
      <c r="L67" s="477"/>
      <c r="M67" s="477"/>
      <c r="N67" s="477"/>
      <c r="O67" s="477"/>
      <c r="P67" s="477"/>
      <c r="Q67" s="477"/>
      <c r="R67" s="477"/>
      <c r="S67" s="478">
        <v>1</v>
      </c>
      <c r="T67" s="478"/>
    </row>
    <row r="68" spans="2:23" customFormat="1" ht="62.45" customHeight="1" x14ac:dyDescent="0.25">
      <c r="B68" s="488"/>
      <c r="C68" s="450"/>
      <c r="D68" s="450"/>
      <c r="E68" s="493" t="s">
        <v>369</v>
      </c>
      <c r="F68" s="493"/>
      <c r="G68" s="493"/>
      <c r="H68" s="493"/>
      <c r="I68" s="477" t="s">
        <v>1048</v>
      </c>
      <c r="J68" s="477"/>
      <c r="K68" s="477"/>
      <c r="L68" s="477"/>
      <c r="M68" s="477"/>
      <c r="N68" s="477"/>
      <c r="O68" s="477"/>
      <c r="P68" s="477"/>
      <c r="Q68" s="477"/>
      <c r="R68" s="477"/>
      <c r="S68" s="478">
        <v>1</v>
      </c>
      <c r="T68" s="478"/>
    </row>
    <row r="69" spans="2:23" customFormat="1" ht="112.9" customHeight="1" x14ac:dyDescent="0.25">
      <c r="B69" s="488"/>
      <c r="C69" s="450"/>
      <c r="D69" s="450"/>
      <c r="E69" s="493" t="s">
        <v>370</v>
      </c>
      <c r="F69" s="493"/>
      <c r="G69" s="493"/>
      <c r="H69" s="493"/>
      <c r="I69" s="477" t="s">
        <v>1049</v>
      </c>
      <c r="J69" s="477"/>
      <c r="K69" s="477"/>
      <c r="L69" s="477"/>
      <c r="M69" s="477"/>
      <c r="N69" s="477"/>
      <c r="O69" s="477"/>
      <c r="P69" s="477"/>
      <c r="Q69" s="477"/>
      <c r="R69" s="477"/>
      <c r="S69" s="478">
        <v>1</v>
      </c>
      <c r="T69" s="478"/>
    </row>
    <row r="70" spans="2:23" customFormat="1" ht="39.6" customHeight="1" x14ac:dyDescent="0.25">
      <c r="B70" s="488"/>
      <c r="C70" s="450"/>
      <c r="D70" s="450"/>
      <c r="E70" s="493" t="s">
        <v>371</v>
      </c>
      <c r="F70" s="493"/>
      <c r="G70" s="493"/>
      <c r="H70" s="493"/>
      <c r="I70" s="477" t="s">
        <v>337</v>
      </c>
      <c r="J70" s="477"/>
      <c r="K70" s="477"/>
      <c r="L70" s="477"/>
      <c r="M70" s="477"/>
      <c r="N70" s="477"/>
      <c r="O70" s="477"/>
      <c r="P70" s="477"/>
      <c r="Q70" s="477"/>
      <c r="R70" s="477"/>
      <c r="S70" s="478">
        <v>1</v>
      </c>
      <c r="T70" s="478"/>
    </row>
    <row r="71" spans="2:23" customFormat="1" ht="58.15" customHeight="1" x14ac:dyDescent="0.25">
      <c r="B71" s="488"/>
      <c r="C71" s="450"/>
      <c r="D71" s="450"/>
      <c r="E71" s="493" t="s">
        <v>372</v>
      </c>
      <c r="F71" s="493"/>
      <c r="G71" s="493"/>
      <c r="H71" s="493"/>
      <c r="I71" s="477" t="s">
        <v>1050</v>
      </c>
      <c r="J71" s="477"/>
      <c r="K71" s="477"/>
      <c r="L71" s="477"/>
      <c r="M71" s="477"/>
      <c r="N71" s="477"/>
      <c r="O71" s="477"/>
      <c r="P71" s="477"/>
      <c r="Q71" s="477"/>
      <c r="R71" s="477"/>
      <c r="S71" s="478">
        <v>1</v>
      </c>
      <c r="T71" s="478"/>
    </row>
    <row r="72" spans="2:23" customFormat="1" ht="69.599999999999994" customHeight="1" x14ac:dyDescent="0.25">
      <c r="B72" s="488"/>
      <c r="C72" s="450"/>
      <c r="D72" s="450"/>
      <c r="E72" s="493" t="s">
        <v>373</v>
      </c>
      <c r="F72" s="493"/>
      <c r="G72" s="493"/>
      <c r="H72" s="493"/>
      <c r="I72" s="477" t="s">
        <v>1051</v>
      </c>
      <c r="J72" s="477"/>
      <c r="K72" s="477"/>
      <c r="L72" s="477"/>
      <c r="M72" s="477"/>
      <c r="N72" s="477"/>
      <c r="O72" s="477"/>
      <c r="P72" s="477"/>
      <c r="Q72" s="477"/>
      <c r="R72" s="477"/>
      <c r="S72" s="478">
        <v>1</v>
      </c>
      <c r="T72" s="494"/>
    </row>
    <row r="73" spans="2:23" customFormat="1" ht="50.25" customHeight="1" x14ac:dyDescent="0.25">
      <c r="B73" s="488"/>
      <c r="C73" s="450"/>
      <c r="D73" s="450"/>
      <c r="E73" s="493" t="s">
        <v>374</v>
      </c>
      <c r="F73" s="493"/>
      <c r="G73" s="493"/>
      <c r="H73" s="493"/>
      <c r="I73" s="477" t="s">
        <v>572</v>
      </c>
      <c r="J73" s="477"/>
      <c r="K73" s="477"/>
      <c r="L73" s="477"/>
      <c r="M73" s="477"/>
      <c r="N73" s="477"/>
      <c r="O73" s="477"/>
      <c r="P73" s="477"/>
      <c r="Q73" s="477"/>
      <c r="R73" s="477"/>
      <c r="S73" s="478">
        <v>1</v>
      </c>
      <c r="T73" s="494"/>
    </row>
    <row r="74" spans="2:23" customFormat="1" ht="55.15" customHeight="1" x14ac:dyDescent="0.25">
      <c r="B74" s="489"/>
      <c r="C74" s="460"/>
      <c r="D74" s="460"/>
      <c r="E74" s="476" t="s">
        <v>375</v>
      </c>
      <c r="F74" s="476"/>
      <c r="G74" s="476"/>
      <c r="H74" s="476"/>
      <c r="I74" s="744" t="s">
        <v>582</v>
      </c>
      <c r="J74" s="744"/>
      <c r="K74" s="744"/>
      <c r="L74" s="744"/>
      <c r="M74" s="744"/>
      <c r="N74" s="744"/>
      <c r="O74" s="744"/>
      <c r="P74" s="744"/>
      <c r="Q74" s="744"/>
      <c r="R74" s="744"/>
      <c r="S74" s="737">
        <v>1</v>
      </c>
      <c r="T74" s="738"/>
    </row>
    <row r="75" spans="2:23" customFormat="1" ht="75.599999999999994" customHeight="1" x14ac:dyDescent="0.25">
      <c r="B75" s="450" t="s">
        <v>909</v>
      </c>
      <c r="C75" s="450" t="s">
        <v>281</v>
      </c>
      <c r="D75" s="450"/>
      <c r="E75" s="493" t="s">
        <v>583</v>
      </c>
      <c r="F75" s="493"/>
      <c r="G75" s="493"/>
      <c r="H75" s="493"/>
      <c r="I75" s="477" t="s">
        <v>282</v>
      </c>
      <c r="J75" s="477"/>
      <c r="K75" s="477"/>
      <c r="L75" s="477"/>
      <c r="M75" s="477"/>
      <c r="N75" s="477"/>
      <c r="O75" s="477"/>
      <c r="P75" s="477"/>
      <c r="Q75" s="477"/>
      <c r="R75" s="477"/>
      <c r="S75" s="478">
        <v>1</v>
      </c>
      <c r="T75" s="478"/>
    </row>
    <row r="76" spans="2:23" customFormat="1" ht="246" customHeight="1" x14ac:dyDescent="0.25">
      <c r="B76" s="450"/>
      <c r="C76" s="450"/>
      <c r="D76" s="450"/>
      <c r="E76" s="493" t="s">
        <v>584</v>
      </c>
      <c r="F76" s="493"/>
      <c r="G76" s="493"/>
      <c r="H76" s="493"/>
      <c r="I76" s="745" t="s">
        <v>1043</v>
      </c>
      <c r="J76" s="745"/>
      <c r="K76" s="745"/>
      <c r="L76" s="745"/>
      <c r="M76" s="745"/>
      <c r="N76" s="745"/>
      <c r="O76" s="745"/>
      <c r="P76" s="745"/>
      <c r="Q76" s="745"/>
      <c r="R76" s="745"/>
      <c r="S76" s="478">
        <v>1</v>
      </c>
      <c r="T76" s="478"/>
    </row>
    <row r="77" spans="2:23" customFormat="1" ht="243.6" customHeight="1" x14ac:dyDescent="0.25">
      <c r="B77" s="450"/>
      <c r="C77" s="450"/>
      <c r="D77" s="450"/>
      <c r="E77" s="450" t="s">
        <v>910</v>
      </c>
      <c r="F77" s="450"/>
      <c r="G77" s="450"/>
      <c r="H77" s="450"/>
      <c r="I77" s="451" t="s">
        <v>911</v>
      </c>
      <c r="J77" s="451"/>
      <c r="K77" s="451"/>
      <c r="L77" s="451"/>
      <c r="M77" s="451"/>
      <c r="N77" s="451"/>
      <c r="O77" s="451"/>
      <c r="P77" s="451"/>
      <c r="Q77" s="451"/>
      <c r="R77" s="451"/>
      <c r="S77" s="452">
        <v>1</v>
      </c>
      <c r="T77" s="452"/>
    </row>
    <row r="78" spans="2:23" customFormat="1" ht="27.75" customHeight="1" x14ac:dyDescent="0.25">
      <c r="B78" s="734"/>
      <c r="C78" s="735"/>
      <c r="D78" s="735"/>
      <c r="E78" s="735"/>
      <c r="F78" s="735"/>
      <c r="G78" s="735"/>
      <c r="H78" s="735"/>
      <c r="I78" s="735"/>
      <c r="J78" s="735"/>
      <c r="K78" s="735"/>
      <c r="L78" s="735"/>
      <c r="M78" s="735"/>
      <c r="N78" s="735"/>
      <c r="O78" s="735"/>
      <c r="P78" s="735"/>
      <c r="Q78" s="735"/>
      <c r="R78" s="735"/>
      <c r="S78" s="735"/>
      <c r="T78" s="736"/>
    </row>
    <row r="79" spans="2:23" customFormat="1" ht="27.75" customHeight="1" x14ac:dyDescent="0.25">
      <c r="B79" s="294" t="s">
        <v>29</v>
      </c>
      <c r="C79" s="490" t="s">
        <v>126</v>
      </c>
      <c r="D79" s="490"/>
      <c r="E79" s="490" t="s">
        <v>376</v>
      </c>
      <c r="F79" s="490"/>
      <c r="G79" s="490"/>
      <c r="H79" s="490"/>
      <c r="I79" s="490"/>
      <c r="J79" s="490" t="s">
        <v>30</v>
      </c>
      <c r="K79" s="490"/>
      <c r="L79" s="490"/>
      <c r="M79" s="490"/>
      <c r="N79" s="490"/>
      <c r="O79" s="490"/>
      <c r="P79" s="490"/>
      <c r="Q79" s="490"/>
      <c r="R79" s="490"/>
      <c r="S79" s="490" t="s">
        <v>31</v>
      </c>
      <c r="T79" s="490"/>
    </row>
    <row r="80" spans="2:23" customFormat="1" ht="48" customHeight="1" x14ac:dyDescent="0.25">
      <c r="B80" s="450" t="s">
        <v>35</v>
      </c>
      <c r="C80" s="450" t="s">
        <v>36</v>
      </c>
      <c r="D80" s="450"/>
      <c r="E80" s="462" t="s">
        <v>377</v>
      </c>
      <c r="F80" s="462"/>
      <c r="G80" s="462"/>
      <c r="H80" s="462"/>
      <c r="I80" s="462"/>
      <c r="J80" s="461" t="s">
        <v>585</v>
      </c>
      <c r="K80" s="461"/>
      <c r="L80" s="461"/>
      <c r="M80" s="461"/>
      <c r="N80" s="461"/>
      <c r="O80" s="461"/>
      <c r="P80" s="461"/>
      <c r="Q80" s="461"/>
      <c r="R80" s="461"/>
      <c r="S80" s="452">
        <v>1</v>
      </c>
      <c r="T80" s="464"/>
    </row>
    <row r="81" spans="2:20" customFormat="1" ht="37.9" customHeight="1" x14ac:dyDescent="0.25">
      <c r="B81" s="450"/>
      <c r="C81" s="450"/>
      <c r="D81" s="450"/>
      <c r="E81" s="462" t="s">
        <v>378</v>
      </c>
      <c r="F81" s="462"/>
      <c r="G81" s="462"/>
      <c r="H81" s="462"/>
      <c r="I81" s="462"/>
      <c r="J81" s="461" t="s">
        <v>586</v>
      </c>
      <c r="K81" s="461"/>
      <c r="L81" s="461"/>
      <c r="M81" s="461"/>
      <c r="N81" s="461"/>
      <c r="O81" s="461"/>
      <c r="P81" s="461"/>
      <c r="Q81" s="461"/>
      <c r="R81" s="461"/>
      <c r="S81" s="452">
        <v>1</v>
      </c>
      <c r="T81" s="464"/>
    </row>
    <row r="82" spans="2:20" customFormat="1" ht="134.44999999999999" customHeight="1" x14ac:dyDescent="0.25">
      <c r="B82" s="450"/>
      <c r="C82" s="450"/>
      <c r="D82" s="450"/>
      <c r="E82" s="462" t="s">
        <v>379</v>
      </c>
      <c r="F82" s="462"/>
      <c r="G82" s="462"/>
      <c r="H82" s="462"/>
      <c r="I82" s="462"/>
      <c r="J82" s="461" t="s">
        <v>297</v>
      </c>
      <c r="K82" s="461"/>
      <c r="L82" s="461"/>
      <c r="M82" s="461"/>
      <c r="N82" s="461"/>
      <c r="O82" s="461"/>
      <c r="P82" s="461"/>
      <c r="Q82" s="461"/>
      <c r="R82" s="461"/>
      <c r="S82" s="452">
        <v>1</v>
      </c>
      <c r="T82" s="464"/>
    </row>
    <row r="83" spans="2:20" customFormat="1" ht="56.25" customHeight="1" x14ac:dyDescent="0.25">
      <c r="B83" s="450"/>
      <c r="C83" s="450"/>
      <c r="D83" s="450"/>
      <c r="E83" s="462" t="s">
        <v>380</v>
      </c>
      <c r="F83" s="462"/>
      <c r="G83" s="462"/>
      <c r="H83" s="462"/>
      <c r="I83" s="462"/>
      <c r="J83" s="461" t="s">
        <v>587</v>
      </c>
      <c r="K83" s="461"/>
      <c r="L83" s="461"/>
      <c r="M83" s="461"/>
      <c r="N83" s="461"/>
      <c r="O83" s="461"/>
      <c r="P83" s="461"/>
      <c r="Q83" s="461"/>
      <c r="R83" s="461"/>
      <c r="S83" s="452">
        <v>1</v>
      </c>
      <c r="T83" s="464"/>
    </row>
    <row r="84" spans="2:20" customFormat="1" ht="47.45" customHeight="1" x14ac:dyDescent="0.25">
      <c r="B84" s="450"/>
      <c r="C84" s="450"/>
      <c r="D84" s="450"/>
      <c r="E84" s="462" t="s">
        <v>381</v>
      </c>
      <c r="F84" s="462"/>
      <c r="G84" s="462"/>
      <c r="H84" s="462"/>
      <c r="I84" s="462"/>
      <c r="J84" s="461" t="s">
        <v>127</v>
      </c>
      <c r="K84" s="461"/>
      <c r="L84" s="461"/>
      <c r="M84" s="461"/>
      <c r="N84" s="461"/>
      <c r="O84" s="461"/>
      <c r="P84" s="461"/>
      <c r="Q84" s="461"/>
      <c r="R84" s="461"/>
      <c r="S84" s="452">
        <v>1</v>
      </c>
      <c r="T84" s="464"/>
    </row>
    <row r="85" spans="2:20" customFormat="1" ht="118.9" customHeight="1" x14ac:dyDescent="0.25">
      <c r="B85" s="450"/>
      <c r="C85" s="450"/>
      <c r="D85" s="450"/>
      <c r="E85" s="450" t="s">
        <v>383</v>
      </c>
      <c r="F85" s="450"/>
      <c r="G85" s="450"/>
      <c r="H85" s="450"/>
      <c r="I85" s="450"/>
      <c r="J85" s="463" t="s">
        <v>1044</v>
      </c>
      <c r="K85" s="463"/>
      <c r="L85" s="463"/>
      <c r="M85" s="463"/>
      <c r="N85" s="463"/>
      <c r="O85" s="463"/>
      <c r="P85" s="463"/>
      <c r="Q85" s="463"/>
      <c r="R85" s="463"/>
      <c r="S85" s="452">
        <v>1</v>
      </c>
      <c r="T85" s="464"/>
    </row>
    <row r="86" spans="2:20" customFormat="1" ht="44.45" customHeight="1" x14ac:dyDescent="0.25">
      <c r="B86" s="450"/>
      <c r="C86" s="450"/>
      <c r="D86" s="450"/>
      <c r="E86" s="462" t="s">
        <v>382</v>
      </c>
      <c r="F86" s="462"/>
      <c r="G86" s="462"/>
      <c r="H86" s="462"/>
      <c r="I86" s="462"/>
      <c r="J86" s="461" t="s">
        <v>588</v>
      </c>
      <c r="K86" s="461"/>
      <c r="L86" s="461"/>
      <c r="M86" s="461"/>
      <c r="N86" s="461"/>
      <c r="O86" s="461"/>
      <c r="P86" s="461"/>
      <c r="Q86" s="461"/>
      <c r="R86" s="461"/>
      <c r="S86" s="452">
        <v>1</v>
      </c>
      <c r="T86" s="464"/>
    </row>
    <row r="87" spans="2:20" customFormat="1" ht="139.5" customHeight="1" x14ac:dyDescent="0.25">
      <c r="B87" s="460"/>
      <c r="C87" s="460"/>
      <c r="D87" s="460"/>
      <c r="E87" s="460" t="s">
        <v>384</v>
      </c>
      <c r="F87" s="460"/>
      <c r="G87" s="460"/>
      <c r="H87" s="460"/>
      <c r="I87" s="460"/>
      <c r="J87" s="457" t="s">
        <v>1052</v>
      </c>
      <c r="K87" s="457"/>
      <c r="L87" s="457"/>
      <c r="M87" s="457"/>
      <c r="N87" s="457"/>
      <c r="O87" s="457"/>
      <c r="P87" s="457"/>
      <c r="Q87" s="457"/>
      <c r="R87" s="457"/>
      <c r="S87" s="458">
        <v>1</v>
      </c>
      <c r="T87" s="459"/>
    </row>
    <row r="88" spans="2:20" customFormat="1" ht="129.6" customHeight="1" x14ac:dyDescent="0.25">
      <c r="B88" s="488" t="s">
        <v>37</v>
      </c>
      <c r="C88" s="450" t="s">
        <v>38</v>
      </c>
      <c r="D88" s="450"/>
      <c r="E88" s="462" t="s">
        <v>385</v>
      </c>
      <c r="F88" s="462"/>
      <c r="G88" s="462"/>
      <c r="H88" s="462"/>
      <c r="I88" s="462"/>
      <c r="J88" s="461" t="s">
        <v>589</v>
      </c>
      <c r="K88" s="461"/>
      <c r="L88" s="461"/>
      <c r="M88" s="461"/>
      <c r="N88" s="461"/>
      <c r="O88" s="461"/>
      <c r="P88" s="461"/>
      <c r="Q88" s="461"/>
      <c r="R88" s="461"/>
      <c r="S88" s="452">
        <v>1</v>
      </c>
      <c r="T88" s="464"/>
    </row>
    <row r="89" spans="2:20" customFormat="1" ht="50.45" customHeight="1" x14ac:dyDescent="0.25">
      <c r="B89" s="488"/>
      <c r="C89" s="450"/>
      <c r="D89" s="450"/>
      <c r="E89" s="462" t="s">
        <v>386</v>
      </c>
      <c r="F89" s="462"/>
      <c r="G89" s="462"/>
      <c r="H89" s="462"/>
      <c r="I89" s="462"/>
      <c r="J89" s="461" t="s">
        <v>590</v>
      </c>
      <c r="K89" s="461"/>
      <c r="L89" s="461"/>
      <c r="M89" s="461"/>
      <c r="N89" s="461"/>
      <c r="O89" s="461"/>
      <c r="P89" s="461"/>
      <c r="Q89" s="461"/>
      <c r="R89" s="461"/>
      <c r="S89" s="452">
        <v>1</v>
      </c>
      <c r="T89" s="464"/>
    </row>
    <row r="90" spans="2:20" customFormat="1" ht="30" customHeight="1" x14ac:dyDescent="0.25">
      <c r="B90" s="489"/>
      <c r="C90" s="460"/>
      <c r="D90" s="460"/>
      <c r="E90" s="491" t="s">
        <v>380</v>
      </c>
      <c r="F90" s="491"/>
      <c r="G90" s="491"/>
      <c r="H90" s="491"/>
      <c r="I90" s="491"/>
      <c r="J90" s="475" t="s">
        <v>111</v>
      </c>
      <c r="K90" s="475"/>
      <c r="L90" s="475"/>
      <c r="M90" s="475"/>
      <c r="N90" s="475"/>
      <c r="O90" s="475"/>
      <c r="P90" s="475"/>
      <c r="Q90" s="475"/>
      <c r="R90" s="475"/>
      <c r="S90" s="458">
        <v>1</v>
      </c>
      <c r="T90" s="459"/>
    </row>
    <row r="91" spans="2:20" customFormat="1" ht="131.44999999999999" customHeight="1" x14ac:dyDescent="0.25">
      <c r="B91" s="450" t="s">
        <v>39</v>
      </c>
      <c r="C91" s="450" t="s">
        <v>40</v>
      </c>
      <c r="D91" s="450"/>
      <c r="E91" s="462" t="s">
        <v>385</v>
      </c>
      <c r="F91" s="462"/>
      <c r="G91" s="462"/>
      <c r="H91" s="462"/>
      <c r="I91" s="462"/>
      <c r="J91" s="461" t="s">
        <v>912</v>
      </c>
      <c r="K91" s="461"/>
      <c r="L91" s="461"/>
      <c r="M91" s="461"/>
      <c r="N91" s="461"/>
      <c r="O91" s="461"/>
      <c r="P91" s="461"/>
      <c r="Q91" s="461"/>
      <c r="R91" s="461"/>
      <c r="S91" s="452">
        <v>1</v>
      </c>
      <c r="T91" s="464"/>
    </row>
    <row r="92" spans="2:20" customFormat="1" ht="27.75" customHeight="1" x14ac:dyDescent="0.25">
      <c r="B92" s="450"/>
      <c r="C92" s="450"/>
      <c r="D92" s="450"/>
      <c r="E92" s="462" t="s">
        <v>378</v>
      </c>
      <c r="F92" s="462"/>
      <c r="G92" s="462"/>
      <c r="H92" s="462"/>
      <c r="I92" s="462"/>
      <c r="J92" s="461" t="s">
        <v>1053</v>
      </c>
      <c r="K92" s="461"/>
      <c r="L92" s="461"/>
      <c r="M92" s="461"/>
      <c r="N92" s="461"/>
      <c r="O92" s="461"/>
      <c r="P92" s="461"/>
      <c r="Q92" s="461"/>
      <c r="R92" s="461"/>
      <c r="S92" s="452">
        <v>1</v>
      </c>
      <c r="T92" s="464"/>
    </row>
    <row r="93" spans="2:20" customFormat="1" ht="213.6" customHeight="1" x14ac:dyDescent="0.25">
      <c r="B93" s="450"/>
      <c r="C93" s="450"/>
      <c r="D93" s="450"/>
      <c r="E93" s="462" t="s">
        <v>387</v>
      </c>
      <c r="F93" s="462"/>
      <c r="G93" s="462"/>
      <c r="H93" s="462"/>
      <c r="I93" s="462"/>
      <c r="J93" s="461" t="s">
        <v>591</v>
      </c>
      <c r="K93" s="461"/>
      <c r="L93" s="461"/>
      <c r="M93" s="461"/>
      <c r="N93" s="461"/>
      <c r="O93" s="461"/>
      <c r="P93" s="461"/>
      <c r="Q93" s="461"/>
      <c r="R93" s="461"/>
      <c r="S93" s="452">
        <v>1</v>
      </c>
      <c r="T93" s="464"/>
    </row>
    <row r="94" spans="2:20" customFormat="1" ht="35.450000000000003" customHeight="1" x14ac:dyDescent="0.25">
      <c r="B94" s="450"/>
      <c r="C94" s="450"/>
      <c r="D94" s="450"/>
      <c r="E94" s="462" t="s">
        <v>388</v>
      </c>
      <c r="F94" s="462"/>
      <c r="G94" s="462"/>
      <c r="H94" s="462"/>
      <c r="I94" s="462"/>
      <c r="J94" s="461" t="s">
        <v>313</v>
      </c>
      <c r="K94" s="461"/>
      <c r="L94" s="461"/>
      <c r="M94" s="461"/>
      <c r="N94" s="461"/>
      <c r="O94" s="461"/>
      <c r="P94" s="461"/>
      <c r="Q94" s="461"/>
      <c r="R94" s="461"/>
      <c r="S94" s="452">
        <v>1</v>
      </c>
      <c r="T94" s="464"/>
    </row>
    <row r="95" spans="2:20" customFormat="1" ht="36.6" customHeight="1" x14ac:dyDescent="0.25">
      <c r="B95" s="450"/>
      <c r="C95" s="450"/>
      <c r="D95" s="450"/>
      <c r="E95" s="462" t="s">
        <v>380</v>
      </c>
      <c r="F95" s="462"/>
      <c r="G95" s="462"/>
      <c r="H95" s="462"/>
      <c r="I95" s="462"/>
      <c r="J95" s="461" t="s">
        <v>592</v>
      </c>
      <c r="K95" s="461"/>
      <c r="L95" s="461"/>
      <c r="M95" s="461"/>
      <c r="N95" s="461"/>
      <c r="O95" s="461"/>
      <c r="P95" s="461"/>
      <c r="Q95" s="461"/>
      <c r="R95" s="461"/>
      <c r="S95" s="452">
        <v>1</v>
      </c>
      <c r="T95" s="464"/>
    </row>
    <row r="96" spans="2:20" customFormat="1" ht="46.15" customHeight="1" x14ac:dyDescent="0.25">
      <c r="B96" s="450"/>
      <c r="C96" s="450"/>
      <c r="D96" s="450"/>
      <c r="E96" s="462" t="s">
        <v>381</v>
      </c>
      <c r="F96" s="462"/>
      <c r="G96" s="462"/>
      <c r="H96" s="462"/>
      <c r="I96" s="462"/>
      <c r="J96" s="461" t="s">
        <v>593</v>
      </c>
      <c r="K96" s="461"/>
      <c r="L96" s="461"/>
      <c r="M96" s="461"/>
      <c r="N96" s="461"/>
      <c r="O96" s="461"/>
      <c r="P96" s="461"/>
      <c r="Q96" s="461"/>
      <c r="R96" s="461"/>
      <c r="S96" s="452">
        <v>1</v>
      </c>
      <c r="T96" s="464"/>
    </row>
    <row r="97" spans="1:21" customFormat="1" ht="52.9" customHeight="1" x14ac:dyDescent="0.25">
      <c r="B97" s="450"/>
      <c r="C97" s="450"/>
      <c r="D97" s="450"/>
      <c r="E97" s="462" t="s">
        <v>382</v>
      </c>
      <c r="F97" s="462"/>
      <c r="G97" s="462"/>
      <c r="H97" s="462"/>
      <c r="I97" s="462"/>
      <c r="J97" s="461" t="s">
        <v>594</v>
      </c>
      <c r="K97" s="461"/>
      <c r="L97" s="461"/>
      <c r="M97" s="461"/>
      <c r="N97" s="461"/>
      <c r="O97" s="461"/>
      <c r="P97" s="461"/>
      <c r="Q97" s="461"/>
      <c r="R97" s="461"/>
      <c r="S97" s="452">
        <v>1</v>
      </c>
      <c r="T97" s="464"/>
    </row>
    <row r="98" spans="1:21" customFormat="1" ht="36" customHeight="1" x14ac:dyDescent="0.25">
      <c r="B98" s="450"/>
      <c r="C98" s="450"/>
      <c r="D98" s="450"/>
      <c r="E98" s="462" t="s">
        <v>389</v>
      </c>
      <c r="F98" s="462"/>
      <c r="G98" s="462"/>
      <c r="H98" s="462"/>
      <c r="I98" s="462"/>
      <c r="J98" s="461" t="s">
        <v>595</v>
      </c>
      <c r="K98" s="461"/>
      <c r="L98" s="461"/>
      <c r="M98" s="461"/>
      <c r="N98" s="461"/>
      <c r="O98" s="461"/>
      <c r="P98" s="461"/>
      <c r="Q98" s="461"/>
      <c r="R98" s="461"/>
      <c r="S98" s="452">
        <v>1</v>
      </c>
      <c r="T98" s="464"/>
    </row>
    <row r="99" spans="1:21" s="82" customFormat="1" ht="115.15" customHeight="1" x14ac:dyDescent="0.25">
      <c r="B99" s="295" t="s">
        <v>596</v>
      </c>
      <c r="C99" s="450" t="s">
        <v>597</v>
      </c>
      <c r="D99" s="450"/>
      <c r="E99" s="462" t="s">
        <v>598</v>
      </c>
      <c r="F99" s="462"/>
      <c r="G99" s="462"/>
      <c r="H99" s="462"/>
      <c r="I99" s="462"/>
      <c r="J99" s="463" t="s">
        <v>601</v>
      </c>
      <c r="K99" s="463"/>
      <c r="L99" s="463"/>
      <c r="M99" s="463"/>
      <c r="N99" s="463"/>
      <c r="O99" s="463"/>
      <c r="P99" s="463"/>
      <c r="Q99" s="463"/>
      <c r="R99" s="463"/>
      <c r="S99" s="452">
        <v>1</v>
      </c>
      <c r="T99" s="452"/>
    </row>
    <row r="100" spans="1:21" s="82" customFormat="1" ht="134.44999999999999" customHeight="1" x14ac:dyDescent="0.25">
      <c r="B100" s="295" t="s">
        <v>596</v>
      </c>
      <c r="C100" s="746" t="s">
        <v>599</v>
      </c>
      <c r="D100" s="746"/>
      <c r="E100" s="462" t="s">
        <v>390</v>
      </c>
      <c r="F100" s="462"/>
      <c r="G100" s="462"/>
      <c r="H100" s="462"/>
      <c r="I100" s="462"/>
      <c r="J100" s="461" t="s">
        <v>600</v>
      </c>
      <c r="K100" s="461"/>
      <c r="L100" s="461"/>
      <c r="M100" s="461"/>
      <c r="N100" s="461"/>
      <c r="O100" s="461"/>
      <c r="P100" s="461"/>
      <c r="Q100" s="461"/>
      <c r="R100" s="461"/>
      <c r="S100" s="452">
        <v>1</v>
      </c>
      <c r="T100" s="464"/>
    </row>
    <row r="101" spans="1:21" ht="17.25" customHeight="1" x14ac:dyDescent="0.2">
      <c r="B101" s="720"/>
      <c r="C101" s="721"/>
      <c r="D101" s="721"/>
      <c r="E101" s="722"/>
      <c r="F101" s="722"/>
      <c r="G101" s="722"/>
      <c r="H101" s="722"/>
      <c r="I101" s="722"/>
      <c r="J101" s="722"/>
      <c r="K101" s="722"/>
      <c r="L101" s="722"/>
      <c r="M101" s="722"/>
      <c r="N101" s="722"/>
      <c r="O101" s="722"/>
      <c r="P101" s="722"/>
      <c r="Q101" s="722"/>
      <c r="R101" s="722"/>
      <c r="S101" s="722"/>
      <c r="T101" s="723"/>
    </row>
    <row r="102" spans="1:21" ht="28.5" customHeight="1" x14ac:dyDescent="0.2">
      <c r="B102" s="718" t="s">
        <v>29</v>
      </c>
      <c r="C102" s="719"/>
      <c r="D102" s="715" t="s">
        <v>561</v>
      </c>
      <c r="E102" s="716"/>
      <c r="F102" s="716"/>
      <c r="G102" s="716"/>
      <c r="H102" s="716"/>
      <c r="I102" s="716"/>
      <c r="J102" s="717"/>
      <c r="K102" s="715" t="s">
        <v>279</v>
      </c>
      <c r="L102" s="716"/>
      <c r="M102" s="716"/>
      <c r="N102" s="716"/>
      <c r="O102" s="716"/>
      <c r="P102" s="716"/>
      <c r="Q102" s="716"/>
      <c r="R102" s="717"/>
      <c r="S102" s="392" t="s">
        <v>4</v>
      </c>
      <c r="T102" s="394"/>
    </row>
    <row r="103" spans="1:21" ht="72.599999999999994" customHeight="1" x14ac:dyDescent="0.2">
      <c r="B103" s="739" t="s">
        <v>596</v>
      </c>
      <c r="C103" s="739"/>
      <c r="D103" s="740" t="s">
        <v>1300</v>
      </c>
      <c r="E103" s="741"/>
      <c r="F103" s="741"/>
      <c r="G103" s="741"/>
      <c r="H103" s="741"/>
      <c r="I103" s="741"/>
      <c r="J103" s="742"/>
      <c r="K103" s="743" t="s">
        <v>794</v>
      </c>
      <c r="L103" s="743"/>
      <c r="M103" s="743"/>
      <c r="N103" s="743"/>
      <c r="O103" s="743"/>
      <c r="P103" s="743"/>
      <c r="Q103" s="743"/>
      <c r="R103" s="743"/>
      <c r="S103" s="387" t="s">
        <v>1301</v>
      </c>
      <c r="T103" s="387"/>
    </row>
    <row r="104" spans="1:21" ht="58.9" customHeight="1" x14ac:dyDescent="0.2">
      <c r="B104" s="739" t="s">
        <v>1091</v>
      </c>
      <c r="C104" s="739"/>
      <c r="D104" s="740" t="s">
        <v>1302</v>
      </c>
      <c r="E104" s="741"/>
      <c r="F104" s="741"/>
      <c r="G104" s="741"/>
      <c r="H104" s="741"/>
      <c r="I104" s="741"/>
      <c r="J104" s="742"/>
      <c r="K104" s="743" t="s">
        <v>794</v>
      </c>
      <c r="L104" s="743"/>
      <c r="M104" s="743"/>
      <c r="N104" s="743"/>
      <c r="O104" s="743"/>
      <c r="P104" s="743"/>
      <c r="Q104" s="743"/>
      <c r="R104" s="743"/>
      <c r="S104" s="387">
        <v>44188</v>
      </c>
      <c r="T104" s="387"/>
    </row>
    <row r="105" spans="1:21" ht="47.45" customHeight="1" x14ac:dyDescent="0.2">
      <c r="B105" s="739" t="s">
        <v>596</v>
      </c>
      <c r="C105" s="739"/>
      <c r="D105" s="740" t="s">
        <v>1303</v>
      </c>
      <c r="E105" s="741"/>
      <c r="F105" s="741"/>
      <c r="G105" s="741"/>
      <c r="H105" s="741"/>
      <c r="I105" s="741"/>
      <c r="J105" s="742"/>
      <c r="K105" s="743" t="s">
        <v>794</v>
      </c>
      <c r="L105" s="743"/>
      <c r="M105" s="743"/>
      <c r="N105" s="743"/>
      <c r="O105" s="743"/>
      <c r="P105" s="743"/>
      <c r="Q105" s="743"/>
      <c r="R105" s="743"/>
      <c r="S105" s="387">
        <v>44189</v>
      </c>
      <c r="T105" s="387"/>
    </row>
    <row r="106" spans="1:21" ht="56.45" customHeight="1" x14ac:dyDescent="0.2">
      <c r="B106" s="739" t="s">
        <v>1304</v>
      </c>
      <c r="C106" s="739"/>
      <c r="D106" s="740" t="s">
        <v>1305</v>
      </c>
      <c r="E106" s="741"/>
      <c r="F106" s="741"/>
      <c r="G106" s="741"/>
      <c r="H106" s="741"/>
      <c r="I106" s="741"/>
      <c r="J106" s="742"/>
      <c r="K106" s="743" t="s">
        <v>1306</v>
      </c>
      <c r="L106" s="743"/>
      <c r="M106" s="743"/>
      <c r="N106" s="743"/>
      <c r="O106" s="743"/>
      <c r="P106" s="743"/>
      <c r="Q106" s="743"/>
      <c r="R106" s="743"/>
      <c r="S106" s="387">
        <v>44194</v>
      </c>
      <c r="T106" s="387"/>
    </row>
    <row r="107" spans="1:21" ht="43.9" customHeight="1" x14ac:dyDescent="0.2">
      <c r="B107" s="747" t="s">
        <v>596</v>
      </c>
      <c r="C107" s="748"/>
      <c r="D107" s="740" t="s">
        <v>1307</v>
      </c>
      <c r="E107" s="741"/>
      <c r="F107" s="741"/>
      <c r="G107" s="741"/>
      <c r="H107" s="741"/>
      <c r="I107" s="741"/>
      <c r="J107" s="742"/>
      <c r="K107" s="743" t="s">
        <v>794</v>
      </c>
      <c r="L107" s="743"/>
      <c r="M107" s="743"/>
      <c r="N107" s="743"/>
      <c r="O107" s="743"/>
      <c r="P107" s="743"/>
      <c r="Q107" s="743"/>
      <c r="R107" s="743"/>
      <c r="S107" s="749" t="s">
        <v>1308</v>
      </c>
      <c r="T107" s="750"/>
    </row>
    <row r="108" spans="1:21" ht="37.9" customHeight="1" x14ac:dyDescent="0.2">
      <c r="B108" s="739" t="s">
        <v>596</v>
      </c>
      <c r="C108" s="739"/>
      <c r="D108" s="740" t="s">
        <v>1309</v>
      </c>
      <c r="E108" s="741"/>
      <c r="F108" s="741"/>
      <c r="G108" s="741"/>
      <c r="H108" s="741"/>
      <c r="I108" s="741"/>
      <c r="J108" s="742"/>
      <c r="K108" s="743" t="s">
        <v>794</v>
      </c>
      <c r="L108" s="743"/>
      <c r="M108" s="743"/>
      <c r="N108" s="743"/>
      <c r="O108" s="743"/>
      <c r="P108" s="743"/>
      <c r="Q108" s="743"/>
      <c r="R108" s="743"/>
      <c r="S108" s="387">
        <v>44194</v>
      </c>
      <c r="T108" s="387"/>
    </row>
    <row r="109" spans="1:21" ht="25.9" customHeight="1" x14ac:dyDescent="0.2">
      <c r="A109" s="2"/>
      <c r="B109" s="453" t="s">
        <v>41</v>
      </c>
      <c r="C109" s="454"/>
      <c r="D109" s="454"/>
      <c r="E109" s="454"/>
      <c r="F109" s="454"/>
      <c r="G109" s="454"/>
      <c r="H109" s="454"/>
      <c r="I109" s="454"/>
      <c r="J109" s="454"/>
      <c r="K109" s="454"/>
      <c r="L109" s="454"/>
      <c r="M109" s="454"/>
      <c r="N109" s="454"/>
      <c r="O109" s="454"/>
      <c r="P109" s="454"/>
      <c r="Q109" s="454"/>
      <c r="R109" s="454"/>
      <c r="S109" s="454"/>
      <c r="T109" s="455"/>
      <c r="U109" s="283"/>
    </row>
    <row r="110" spans="1:21" ht="24.6" customHeight="1" x14ac:dyDescent="0.2">
      <c r="A110" s="2"/>
      <c r="B110" s="392" t="s">
        <v>42</v>
      </c>
      <c r="C110" s="393"/>
      <c r="D110" s="393"/>
      <c r="E110" s="394"/>
      <c r="F110" s="83" t="s">
        <v>29</v>
      </c>
      <c r="G110" s="392" t="s">
        <v>43</v>
      </c>
      <c r="H110" s="393"/>
      <c r="I110" s="393"/>
      <c r="J110" s="393"/>
      <c r="K110" s="393"/>
      <c r="L110" s="393"/>
      <c r="M110" s="393"/>
      <c r="N110" s="393"/>
      <c r="O110" s="393"/>
      <c r="P110" s="393"/>
      <c r="Q110" s="393"/>
      <c r="R110" s="394"/>
      <c r="S110" s="392" t="s">
        <v>4</v>
      </c>
      <c r="T110" s="394"/>
    </row>
    <row r="111" spans="1:21" ht="37.9" customHeight="1" x14ac:dyDescent="0.2">
      <c r="A111" s="2"/>
      <c r="B111" s="364" t="s">
        <v>1054</v>
      </c>
      <c r="C111" s="364"/>
      <c r="D111" s="364"/>
      <c r="E111" s="364"/>
      <c r="F111" s="338" t="s">
        <v>33</v>
      </c>
      <c r="G111" s="386" t="s">
        <v>1055</v>
      </c>
      <c r="H111" s="386"/>
      <c r="I111" s="386"/>
      <c r="J111" s="386"/>
      <c r="K111" s="386"/>
      <c r="L111" s="386"/>
      <c r="M111" s="386"/>
      <c r="N111" s="386"/>
      <c r="O111" s="386"/>
      <c r="P111" s="386"/>
      <c r="Q111" s="386"/>
      <c r="R111" s="386"/>
      <c r="S111" s="387">
        <v>44194</v>
      </c>
      <c r="T111" s="387"/>
    </row>
    <row r="112" spans="1:21" ht="37.9" customHeight="1" x14ac:dyDescent="0.2">
      <c r="A112" s="2"/>
      <c r="B112" s="364"/>
      <c r="C112" s="364"/>
      <c r="D112" s="364"/>
      <c r="E112" s="364"/>
      <c r="F112" s="338" t="s">
        <v>33</v>
      </c>
      <c r="G112" s="386" t="s">
        <v>1153</v>
      </c>
      <c r="H112" s="386"/>
      <c r="I112" s="386"/>
      <c r="J112" s="386"/>
      <c r="K112" s="386"/>
      <c r="L112" s="386"/>
      <c r="M112" s="386"/>
      <c r="N112" s="386"/>
      <c r="O112" s="386"/>
      <c r="P112" s="386"/>
      <c r="Q112" s="386"/>
      <c r="R112" s="386"/>
      <c r="S112" s="387">
        <v>44194</v>
      </c>
      <c r="T112" s="387"/>
    </row>
    <row r="113" spans="1:21" ht="37.9" customHeight="1" x14ac:dyDescent="0.2">
      <c r="A113" s="2"/>
      <c r="B113" s="364" t="s">
        <v>962</v>
      </c>
      <c r="C113" s="364"/>
      <c r="D113" s="364"/>
      <c r="E113" s="364"/>
      <c r="F113" s="338">
        <v>1</v>
      </c>
      <c r="G113" s="386" t="s">
        <v>1329</v>
      </c>
      <c r="H113" s="386"/>
      <c r="I113" s="386"/>
      <c r="J113" s="386"/>
      <c r="K113" s="386"/>
      <c r="L113" s="386"/>
      <c r="M113" s="386"/>
      <c r="N113" s="386"/>
      <c r="O113" s="386"/>
      <c r="P113" s="386"/>
      <c r="Q113" s="386"/>
      <c r="R113" s="386"/>
      <c r="S113" s="387">
        <v>44188</v>
      </c>
      <c r="T113" s="387"/>
    </row>
    <row r="114" spans="1:21" ht="37.9" customHeight="1" x14ac:dyDescent="0.2">
      <c r="A114" s="2"/>
      <c r="B114" s="364" t="s">
        <v>1330</v>
      </c>
      <c r="C114" s="364"/>
      <c r="D114" s="364"/>
      <c r="E114" s="364"/>
      <c r="F114" s="338" t="s">
        <v>33</v>
      </c>
      <c r="G114" s="386" t="s">
        <v>1331</v>
      </c>
      <c r="H114" s="386"/>
      <c r="I114" s="386"/>
      <c r="J114" s="386"/>
      <c r="K114" s="386"/>
      <c r="L114" s="386"/>
      <c r="M114" s="386"/>
      <c r="N114" s="386"/>
      <c r="O114" s="386"/>
      <c r="P114" s="386"/>
      <c r="Q114" s="386"/>
      <c r="R114" s="386"/>
      <c r="S114" s="387">
        <v>44194</v>
      </c>
      <c r="T114" s="387"/>
    </row>
    <row r="115" spans="1:21" ht="37.9" customHeight="1" x14ac:dyDescent="0.2">
      <c r="A115" s="2"/>
      <c r="B115" s="364" t="s">
        <v>1332</v>
      </c>
      <c r="C115" s="364"/>
      <c r="D115" s="364"/>
      <c r="E115" s="364"/>
      <c r="F115" s="338">
        <v>3</v>
      </c>
      <c r="G115" s="386" t="s">
        <v>1333</v>
      </c>
      <c r="H115" s="386"/>
      <c r="I115" s="386"/>
      <c r="J115" s="386"/>
      <c r="K115" s="386"/>
      <c r="L115" s="386"/>
      <c r="M115" s="386"/>
      <c r="N115" s="386"/>
      <c r="O115" s="386"/>
      <c r="P115" s="386"/>
      <c r="Q115" s="386"/>
      <c r="R115" s="386"/>
      <c r="S115" s="387">
        <v>44195</v>
      </c>
      <c r="T115" s="387"/>
    </row>
    <row r="116" spans="1:21" ht="15" customHeight="1" x14ac:dyDescent="0.2">
      <c r="B116" s="45"/>
      <c r="C116" s="40"/>
      <c r="D116" s="40"/>
      <c r="E116" s="40"/>
      <c r="F116" s="40"/>
      <c r="G116" s="40"/>
      <c r="H116" s="40"/>
      <c r="I116" s="40"/>
      <c r="J116" s="40"/>
      <c r="K116" s="40"/>
      <c r="L116" s="40"/>
      <c r="M116" s="40"/>
      <c r="N116" s="40"/>
      <c r="O116" s="40"/>
      <c r="P116" s="40"/>
      <c r="Q116" s="40"/>
      <c r="R116" s="40"/>
      <c r="S116" s="40"/>
      <c r="T116" s="41"/>
    </row>
    <row r="117" spans="1:21" ht="25.5" customHeight="1" x14ac:dyDescent="0.2">
      <c r="B117" s="645" t="s">
        <v>289</v>
      </c>
      <c r="C117" s="646"/>
      <c r="D117" s="646"/>
      <c r="E117" s="646"/>
      <c r="F117" s="646"/>
      <c r="G117" s="646"/>
      <c r="H117" s="646"/>
      <c r="I117" s="646"/>
      <c r="J117" s="646"/>
      <c r="K117" s="646"/>
      <c r="L117" s="646"/>
      <c r="M117" s="646"/>
      <c r="N117" s="646"/>
      <c r="O117" s="646"/>
      <c r="P117" s="646"/>
      <c r="Q117" s="646"/>
      <c r="R117" s="646"/>
      <c r="S117" s="646"/>
      <c r="T117" s="647"/>
      <c r="U117" s="283"/>
    </row>
    <row r="118" spans="1:21" ht="34.9" customHeight="1" x14ac:dyDescent="0.2">
      <c r="B118" s="465" t="s">
        <v>44</v>
      </c>
      <c r="C118" s="466"/>
      <c r="D118" s="392" t="s">
        <v>391</v>
      </c>
      <c r="E118" s="393"/>
      <c r="F118" s="393"/>
      <c r="G118" s="393"/>
      <c r="H118" s="393"/>
      <c r="I118" s="393"/>
      <c r="J118" s="394"/>
      <c r="K118" s="392" t="s">
        <v>45</v>
      </c>
      <c r="L118" s="393"/>
      <c r="M118" s="393"/>
      <c r="N118" s="393"/>
      <c r="O118" s="393"/>
      <c r="P118" s="393"/>
      <c r="Q118" s="393"/>
      <c r="R118" s="394"/>
      <c r="S118" s="392" t="s">
        <v>4</v>
      </c>
      <c r="T118" s="394"/>
    </row>
    <row r="119" spans="1:21" ht="34.9" customHeight="1" x14ac:dyDescent="0.2">
      <c r="B119" s="365" t="s">
        <v>760</v>
      </c>
      <c r="C119" s="366"/>
      <c r="D119" s="367" t="s">
        <v>761</v>
      </c>
      <c r="E119" s="368"/>
      <c r="F119" s="368"/>
      <c r="G119" s="368"/>
      <c r="H119" s="368"/>
      <c r="I119" s="368"/>
      <c r="J119" s="369"/>
      <c r="K119" s="370" t="s">
        <v>762</v>
      </c>
      <c r="L119" s="371"/>
      <c r="M119" s="371"/>
      <c r="N119" s="371"/>
      <c r="O119" s="371"/>
      <c r="P119" s="371"/>
      <c r="Q119" s="371"/>
      <c r="R119" s="372"/>
      <c r="S119" s="373" t="s">
        <v>1356</v>
      </c>
      <c r="T119" s="374"/>
    </row>
    <row r="120" spans="1:21" ht="62.45" customHeight="1" x14ac:dyDescent="0.2">
      <c r="B120" s="365" t="s">
        <v>10</v>
      </c>
      <c r="C120" s="366"/>
      <c r="D120" s="370" t="s">
        <v>1357</v>
      </c>
      <c r="E120" s="371"/>
      <c r="F120" s="371"/>
      <c r="G120" s="371"/>
      <c r="H120" s="371"/>
      <c r="I120" s="371"/>
      <c r="J120" s="372"/>
      <c r="K120" s="370" t="s">
        <v>1358</v>
      </c>
      <c r="L120" s="371"/>
      <c r="M120" s="371"/>
      <c r="N120" s="371"/>
      <c r="O120" s="371"/>
      <c r="P120" s="371"/>
      <c r="Q120" s="371"/>
      <c r="R120" s="372"/>
      <c r="S120" s="373">
        <v>44189</v>
      </c>
      <c r="T120" s="374"/>
    </row>
    <row r="121" spans="1:21" ht="55.15" customHeight="1" x14ac:dyDescent="0.2">
      <c r="B121" s="365" t="s">
        <v>9</v>
      </c>
      <c r="C121" s="366"/>
      <c r="D121" s="370" t="s">
        <v>1359</v>
      </c>
      <c r="E121" s="371"/>
      <c r="F121" s="371"/>
      <c r="G121" s="371"/>
      <c r="H121" s="371"/>
      <c r="I121" s="371"/>
      <c r="J121" s="372"/>
      <c r="K121" s="370" t="s">
        <v>1360</v>
      </c>
      <c r="L121" s="371"/>
      <c r="M121" s="371"/>
      <c r="N121" s="371"/>
      <c r="O121" s="371"/>
      <c r="P121" s="371"/>
      <c r="Q121" s="371"/>
      <c r="R121" s="372"/>
      <c r="S121" s="373">
        <v>44194</v>
      </c>
      <c r="T121" s="374"/>
    </row>
    <row r="122" spans="1:21" ht="36" customHeight="1" x14ac:dyDescent="0.2">
      <c r="B122" s="365" t="s">
        <v>9</v>
      </c>
      <c r="C122" s="366"/>
      <c r="D122" s="370" t="s">
        <v>1361</v>
      </c>
      <c r="E122" s="371"/>
      <c r="F122" s="371"/>
      <c r="G122" s="371"/>
      <c r="H122" s="371"/>
      <c r="I122" s="371"/>
      <c r="J122" s="372"/>
      <c r="K122" s="370" t="s">
        <v>1362</v>
      </c>
      <c r="L122" s="371"/>
      <c r="M122" s="371"/>
      <c r="N122" s="371"/>
      <c r="O122" s="371"/>
      <c r="P122" s="371"/>
      <c r="Q122" s="371"/>
      <c r="R122" s="372"/>
      <c r="S122" s="373">
        <v>44195</v>
      </c>
      <c r="T122" s="374"/>
    </row>
    <row r="123" spans="1:21" ht="33.6" customHeight="1" x14ac:dyDescent="0.2">
      <c r="B123" s="365" t="s">
        <v>10</v>
      </c>
      <c r="C123" s="366"/>
      <c r="D123" s="370" t="s">
        <v>1363</v>
      </c>
      <c r="E123" s="371"/>
      <c r="F123" s="371"/>
      <c r="G123" s="371"/>
      <c r="H123" s="371"/>
      <c r="I123" s="371"/>
      <c r="J123" s="372"/>
      <c r="K123" s="370" t="s">
        <v>1364</v>
      </c>
      <c r="L123" s="371"/>
      <c r="M123" s="371"/>
      <c r="N123" s="371"/>
      <c r="O123" s="371"/>
      <c r="P123" s="371"/>
      <c r="Q123" s="371"/>
      <c r="R123" s="372"/>
      <c r="S123" s="373">
        <v>44195</v>
      </c>
      <c r="T123" s="374"/>
    </row>
    <row r="124" spans="1:21" ht="60" customHeight="1" x14ac:dyDescent="0.2">
      <c r="B124" s="365" t="s">
        <v>760</v>
      </c>
      <c r="C124" s="366"/>
      <c r="D124" s="370" t="s">
        <v>1365</v>
      </c>
      <c r="E124" s="371"/>
      <c r="F124" s="371"/>
      <c r="G124" s="371"/>
      <c r="H124" s="371"/>
      <c r="I124" s="371"/>
      <c r="J124" s="372"/>
      <c r="K124" s="370" t="s">
        <v>1366</v>
      </c>
      <c r="L124" s="371"/>
      <c r="M124" s="371"/>
      <c r="N124" s="371"/>
      <c r="O124" s="371"/>
      <c r="P124" s="371"/>
      <c r="Q124" s="371"/>
      <c r="R124" s="372"/>
      <c r="S124" s="373">
        <v>44195</v>
      </c>
      <c r="T124" s="374"/>
    </row>
    <row r="125" spans="1:21" ht="36" customHeight="1" x14ac:dyDescent="0.2">
      <c r="B125" s="365" t="s">
        <v>760</v>
      </c>
      <c r="C125" s="366"/>
      <c r="D125" s="367" t="s">
        <v>763</v>
      </c>
      <c r="E125" s="368"/>
      <c r="F125" s="368"/>
      <c r="G125" s="368"/>
      <c r="H125" s="368"/>
      <c r="I125" s="368"/>
      <c r="J125" s="369"/>
      <c r="K125" s="370" t="s">
        <v>795</v>
      </c>
      <c r="L125" s="371"/>
      <c r="M125" s="371"/>
      <c r="N125" s="371"/>
      <c r="O125" s="371"/>
      <c r="P125" s="371"/>
      <c r="Q125" s="371"/>
      <c r="R125" s="372"/>
      <c r="S125" s="373" t="s">
        <v>1356</v>
      </c>
      <c r="T125" s="374"/>
    </row>
    <row r="126" spans="1:21" s="3" customFormat="1" ht="22.5" customHeight="1" x14ac:dyDescent="0.2">
      <c r="B126" s="725" t="s">
        <v>46</v>
      </c>
      <c r="C126" s="726"/>
      <c r="D126" s="726"/>
      <c r="E126" s="726"/>
      <c r="F126" s="726"/>
      <c r="G126" s="726"/>
      <c r="H126" s="726"/>
      <c r="I126" s="726"/>
      <c r="J126" s="726"/>
      <c r="K126" s="726"/>
      <c r="L126" s="726"/>
      <c r="M126" s="726"/>
      <c r="N126" s="726"/>
      <c r="O126" s="726"/>
      <c r="P126" s="726"/>
      <c r="Q126" s="726"/>
      <c r="R126" s="726"/>
      <c r="S126" s="726"/>
      <c r="T126" s="727"/>
    </row>
    <row r="127" spans="1:21" s="6" customFormat="1" ht="22.5" customHeight="1" x14ac:dyDescent="0.2">
      <c r="B127" s="568" t="s">
        <v>47</v>
      </c>
      <c r="C127" s="569"/>
      <c r="D127" s="569"/>
      <c r="E127" s="569"/>
      <c r="F127" s="569"/>
      <c r="G127" s="569"/>
      <c r="H127" s="569"/>
      <c r="I127" s="569"/>
      <c r="J127" s="569"/>
      <c r="K127" s="569"/>
      <c r="L127" s="569"/>
      <c r="M127" s="569"/>
      <c r="N127" s="569"/>
      <c r="O127" s="569"/>
      <c r="P127" s="569"/>
      <c r="Q127" s="569"/>
      <c r="R127" s="569"/>
      <c r="S127" s="569"/>
      <c r="T127" s="570"/>
    </row>
    <row r="128" spans="1:21" s="7" customFormat="1" ht="47.1" customHeight="1" x14ac:dyDescent="0.25">
      <c r="B128" s="575" t="s">
        <v>392</v>
      </c>
      <c r="C128" s="576"/>
      <c r="D128" s="576"/>
      <c r="E128" s="576"/>
      <c r="F128" s="576"/>
      <c r="G128" s="576"/>
      <c r="H128" s="576"/>
      <c r="I128" s="576"/>
      <c r="J128" s="576"/>
      <c r="K128" s="576"/>
      <c r="L128" s="576"/>
      <c r="M128" s="576"/>
      <c r="N128" s="576"/>
      <c r="O128" s="576"/>
      <c r="P128" s="576"/>
      <c r="Q128" s="576"/>
      <c r="R128" s="576"/>
      <c r="S128" s="576"/>
      <c r="T128" s="577"/>
    </row>
    <row r="129" spans="2:20" s="6" customFormat="1" ht="22.5" customHeight="1" x14ac:dyDescent="0.2">
      <c r="B129" s="469"/>
      <c r="C129" s="470"/>
      <c r="D129" s="470"/>
      <c r="E129" s="470"/>
      <c r="F129" s="470"/>
      <c r="G129" s="470"/>
      <c r="H129" s="470"/>
      <c r="I129" s="470"/>
      <c r="J129" s="470"/>
      <c r="K129" s="470"/>
      <c r="L129" s="470"/>
      <c r="M129" s="470"/>
      <c r="N129" s="470"/>
      <c r="O129" s="470"/>
      <c r="P129" s="470"/>
      <c r="Q129" s="470"/>
      <c r="R129" s="470"/>
      <c r="S129" s="470"/>
      <c r="T129" s="471"/>
    </row>
    <row r="130" spans="2:20" s="6" customFormat="1" ht="22.5" customHeight="1" x14ac:dyDescent="0.2">
      <c r="B130" s="565" t="s">
        <v>48</v>
      </c>
      <c r="C130" s="566"/>
      <c r="D130" s="566"/>
      <c r="E130" s="566"/>
      <c r="F130" s="566"/>
      <c r="G130" s="566"/>
      <c r="H130" s="566"/>
      <c r="I130" s="566"/>
      <c r="J130" s="566"/>
      <c r="K130" s="566"/>
      <c r="L130" s="566"/>
      <c r="M130" s="566"/>
      <c r="N130" s="566"/>
      <c r="O130" s="566"/>
      <c r="P130" s="566"/>
      <c r="Q130" s="566"/>
      <c r="R130" s="566"/>
      <c r="S130" s="566"/>
      <c r="T130" s="567"/>
    </row>
    <row r="131" spans="2:20" s="6" customFormat="1" ht="22.5" customHeight="1" x14ac:dyDescent="0.2">
      <c r="B131" s="533" t="s">
        <v>49</v>
      </c>
      <c r="C131" s="533"/>
      <c r="D131" s="397" t="s">
        <v>393</v>
      </c>
      <c r="E131" s="399"/>
      <c r="F131" s="399"/>
      <c r="G131" s="399"/>
      <c r="H131" s="399"/>
      <c r="I131" s="399"/>
      <c r="J131" s="398"/>
      <c r="K131" s="560" t="s">
        <v>25</v>
      </c>
      <c r="L131" s="560"/>
      <c r="M131" s="560"/>
      <c r="N131" s="560"/>
      <c r="O131" s="560"/>
      <c r="P131" s="560"/>
      <c r="Q131" s="560"/>
      <c r="R131" s="560"/>
      <c r="S131" s="397" t="s">
        <v>50</v>
      </c>
      <c r="T131" s="398"/>
    </row>
    <row r="132" spans="2:20" s="6" customFormat="1" ht="259.14999999999998" customHeight="1" x14ac:dyDescent="0.2">
      <c r="B132" s="519" t="s">
        <v>51</v>
      </c>
      <c r="C132" s="519"/>
      <c r="D132" s="731" t="s">
        <v>394</v>
      </c>
      <c r="E132" s="732"/>
      <c r="F132" s="732"/>
      <c r="G132" s="732"/>
      <c r="H132" s="732"/>
      <c r="I132" s="732"/>
      <c r="J132" s="733"/>
      <c r="K132" s="775" t="s">
        <v>415</v>
      </c>
      <c r="L132" s="775"/>
      <c r="M132" s="775"/>
      <c r="N132" s="775"/>
      <c r="O132" s="775"/>
      <c r="P132" s="775"/>
      <c r="Q132" s="775"/>
      <c r="R132" s="775"/>
      <c r="S132" s="384" t="s">
        <v>416</v>
      </c>
      <c r="T132" s="385"/>
    </row>
    <row r="133" spans="2:20" s="6" customFormat="1" ht="126.75" customHeight="1" x14ac:dyDescent="0.2">
      <c r="B133" s="519" t="s">
        <v>52</v>
      </c>
      <c r="C133" s="519"/>
      <c r="D133" s="712" t="s">
        <v>395</v>
      </c>
      <c r="E133" s="713"/>
      <c r="F133" s="713"/>
      <c r="G133" s="713"/>
      <c r="H133" s="713"/>
      <c r="I133" s="713"/>
      <c r="J133" s="714"/>
      <c r="K133" s="440" t="s">
        <v>53</v>
      </c>
      <c r="L133" s="440"/>
      <c r="M133" s="440"/>
      <c r="N133" s="440"/>
      <c r="O133" s="440"/>
      <c r="P133" s="440"/>
      <c r="Q133" s="440"/>
      <c r="R133" s="440"/>
      <c r="S133" s="384" t="s">
        <v>416</v>
      </c>
      <c r="T133" s="385"/>
    </row>
    <row r="134" spans="2:20" s="6" customFormat="1" ht="82.5" customHeight="1" x14ac:dyDescent="0.2">
      <c r="B134" s="519" t="s">
        <v>54</v>
      </c>
      <c r="C134" s="519"/>
      <c r="D134" s="712" t="s">
        <v>396</v>
      </c>
      <c r="E134" s="713"/>
      <c r="F134" s="713"/>
      <c r="G134" s="713"/>
      <c r="H134" s="713"/>
      <c r="I134" s="713"/>
      <c r="J134" s="714"/>
      <c r="K134" s="440" t="s">
        <v>55</v>
      </c>
      <c r="L134" s="440"/>
      <c r="M134" s="440"/>
      <c r="N134" s="440"/>
      <c r="O134" s="440"/>
      <c r="P134" s="440"/>
      <c r="Q134" s="440"/>
      <c r="R134" s="440"/>
      <c r="S134" s="438" t="s">
        <v>56</v>
      </c>
      <c r="T134" s="439"/>
    </row>
    <row r="135" spans="2:20" s="6" customFormat="1" ht="329.25" customHeight="1" x14ac:dyDescent="0.2">
      <c r="B135" s="519" t="s">
        <v>22</v>
      </c>
      <c r="C135" s="519"/>
      <c r="D135" s="712" t="s">
        <v>397</v>
      </c>
      <c r="E135" s="713"/>
      <c r="F135" s="713"/>
      <c r="G135" s="713"/>
      <c r="H135" s="713"/>
      <c r="I135" s="713"/>
      <c r="J135" s="714"/>
      <c r="K135" s="386" t="s">
        <v>113</v>
      </c>
      <c r="L135" s="456"/>
      <c r="M135" s="456"/>
      <c r="N135" s="456"/>
      <c r="O135" s="456"/>
      <c r="P135" s="456"/>
      <c r="Q135" s="456"/>
      <c r="R135" s="456"/>
      <c r="S135" s="438" t="s">
        <v>56</v>
      </c>
      <c r="T135" s="439"/>
    </row>
    <row r="136" spans="2:20" s="6" customFormat="1" ht="158.1" customHeight="1" x14ac:dyDescent="0.2">
      <c r="B136" s="519" t="s">
        <v>57</v>
      </c>
      <c r="C136" s="519"/>
      <c r="D136" s="712" t="s">
        <v>398</v>
      </c>
      <c r="E136" s="713"/>
      <c r="F136" s="713"/>
      <c r="G136" s="713"/>
      <c r="H136" s="713"/>
      <c r="I136" s="713"/>
      <c r="J136" s="714"/>
      <c r="K136" s="440" t="s">
        <v>58</v>
      </c>
      <c r="L136" s="440"/>
      <c r="M136" s="440"/>
      <c r="N136" s="440"/>
      <c r="O136" s="440"/>
      <c r="P136" s="440"/>
      <c r="Q136" s="440"/>
      <c r="R136" s="440"/>
      <c r="S136" s="384" t="s">
        <v>59</v>
      </c>
      <c r="T136" s="385"/>
    </row>
    <row r="137" spans="2:20" s="6" customFormat="1" ht="22.5" customHeight="1" x14ac:dyDescent="0.2">
      <c r="B137" s="441"/>
      <c r="C137" s="442"/>
      <c r="D137" s="442"/>
      <c r="E137" s="442"/>
      <c r="F137" s="442"/>
      <c r="G137" s="442"/>
      <c r="H137" s="442"/>
      <c r="I137" s="442"/>
      <c r="J137" s="442"/>
      <c r="K137" s="442"/>
      <c r="L137" s="442"/>
      <c r="M137" s="442"/>
      <c r="N137" s="442"/>
      <c r="O137" s="442"/>
      <c r="P137" s="442"/>
      <c r="Q137" s="442"/>
      <c r="R137" s="442"/>
      <c r="S137" s="442"/>
      <c r="T137" s="443"/>
    </row>
    <row r="138" spans="2:20" s="3" customFormat="1" ht="22.5" customHeight="1" x14ac:dyDescent="0.2">
      <c r="B138" s="565" t="s">
        <v>114</v>
      </c>
      <c r="C138" s="566"/>
      <c r="D138" s="566"/>
      <c r="E138" s="566"/>
      <c r="F138" s="566"/>
      <c r="G138" s="566"/>
      <c r="H138" s="566"/>
      <c r="I138" s="566"/>
      <c r="J138" s="566"/>
      <c r="K138" s="566"/>
      <c r="L138" s="566"/>
      <c r="M138" s="566"/>
      <c r="N138" s="566"/>
      <c r="O138" s="566"/>
      <c r="P138" s="566"/>
      <c r="Q138" s="566"/>
      <c r="R138" s="566"/>
      <c r="S138" s="566"/>
      <c r="T138" s="567"/>
    </row>
    <row r="139" spans="2:20" s="3" customFormat="1" ht="29.25" customHeight="1" x14ac:dyDescent="0.2">
      <c r="B139" s="4"/>
      <c r="C139" s="4"/>
      <c r="D139" s="4"/>
      <c r="E139" s="4"/>
      <c r="F139" s="4"/>
      <c r="G139" s="70"/>
      <c r="H139" s="4"/>
      <c r="I139" s="5"/>
      <c r="J139" s="4"/>
      <c r="K139" s="4"/>
      <c r="L139" s="765"/>
      <c r="M139" s="766"/>
      <c r="N139" s="766"/>
      <c r="O139" s="766"/>
      <c r="P139" s="766"/>
      <c r="Q139" s="766"/>
      <c r="R139" s="766"/>
      <c r="S139" s="766"/>
      <c r="T139" s="767"/>
    </row>
    <row r="140" spans="2:20" s="3" customFormat="1" ht="22.5" customHeight="1" x14ac:dyDescent="0.2">
      <c r="B140" s="436" t="s">
        <v>60</v>
      </c>
      <c r="C140" s="724"/>
      <c r="D140" s="724"/>
      <c r="E140" s="724"/>
      <c r="F140" s="724"/>
      <c r="G140" s="724"/>
      <c r="H140" s="724"/>
      <c r="I140" s="724"/>
      <c r="J140" s="724"/>
      <c r="K140" s="437"/>
      <c r="L140" s="768"/>
      <c r="M140" s="769"/>
      <c r="N140" s="769"/>
      <c r="O140" s="769"/>
      <c r="P140" s="769"/>
      <c r="Q140" s="769"/>
      <c r="R140" s="769"/>
      <c r="S140" s="769"/>
      <c r="T140" s="770"/>
    </row>
    <row r="141" spans="2:20" s="3" customFormat="1" ht="28.5" customHeight="1" x14ac:dyDescent="0.2">
      <c r="B141" s="519" t="s">
        <v>61</v>
      </c>
      <c r="C141" s="519"/>
      <c r="D141" s="519"/>
      <c r="E141" s="436" t="s">
        <v>348</v>
      </c>
      <c r="F141" s="437"/>
      <c r="G141" s="8" t="s">
        <v>62</v>
      </c>
      <c r="H141" s="9" t="s">
        <v>63</v>
      </c>
      <c r="I141" s="10" t="s">
        <v>64</v>
      </c>
      <c r="J141" s="66" t="s">
        <v>65</v>
      </c>
      <c r="K141" s="66" t="s">
        <v>66</v>
      </c>
      <c r="L141" s="768"/>
      <c r="M141" s="769"/>
      <c r="N141" s="769"/>
      <c r="O141" s="769"/>
      <c r="P141" s="769"/>
      <c r="Q141" s="769"/>
      <c r="R141" s="769"/>
      <c r="S141" s="769"/>
      <c r="T141" s="770"/>
    </row>
    <row r="142" spans="2:20" s="3" customFormat="1" ht="25.5" customHeight="1" x14ac:dyDescent="0.2">
      <c r="B142" s="361" t="s">
        <v>67</v>
      </c>
      <c r="C142" s="362"/>
      <c r="D142" s="363"/>
      <c r="E142" s="400">
        <v>38.89</v>
      </c>
      <c r="F142" s="401"/>
      <c r="G142" s="13">
        <f>+E155</f>
        <v>0.7077</v>
      </c>
      <c r="H142" s="27">
        <f>+G155</f>
        <v>0.8105</v>
      </c>
      <c r="I142" s="11">
        <v>42684</v>
      </c>
      <c r="J142" s="11">
        <v>44923</v>
      </c>
      <c r="K142" s="12">
        <f t="shared" ref="K142:K149" si="0">+J142-I142</f>
        <v>2239</v>
      </c>
      <c r="L142" s="768"/>
      <c r="M142" s="769"/>
      <c r="N142" s="769"/>
      <c r="O142" s="769"/>
      <c r="P142" s="769"/>
      <c r="Q142" s="769"/>
      <c r="R142" s="769"/>
      <c r="S142" s="769"/>
      <c r="T142" s="770"/>
    </row>
    <row r="143" spans="2:20" s="3" customFormat="1" ht="15" customHeight="1" x14ac:dyDescent="0.2">
      <c r="B143" s="361" t="s">
        <v>68</v>
      </c>
      <c r="C143" s="362"/>
      <c r="D143" s="363"/>
      <c r="E143" s="400">
        <v>21.84</v>
      </c>
      <c r="F143" s="401"/>
      <c r="G143" s="13">
        <f>+F204</f>
        <v>0.52010000000000001</v>
      </c>
      <c r="H143" s="27">
        <f>+H204</f>
        <v>0.6401</v>
      </c>
      <c r="I143" s="11">
        <v>43044</v>
      </c>
      <c r="J143" s="11">
        <v>44772</v>
      </c>
      <c r="K143" s="12">
        <f t="shared" si="0"/>
        <v>1728</v>
      </c>
      <c r="L143" s="768"/>
      <c r="M143" s="769"/>
      <c r="N143" s="769"/>
      <c r="O143" s="769"/>
      <c r="P143" s="769"/>
      <c r="Q143" s="769"/>
      <c r="R143" s="769"/>
      <c r="S143" s="769"/>
      <c r="T143" s="770"/>
    </row>
    <row r="144" spans="2:20" s="3" customFormat="1" ht="30.75" customHeight="1" x14ac:dyDescent="0.2">
      <c r="B144" s="361" t="s">
        <v>69</v>
      </c>
      <c r="C144" s="362"/>
      <c r="D144" s="363"/>
      <c r="E144" s="400">
        <v>0</v>
      </c>
      <c r="F144" s="401"/>
      <c r="G144" s="95">
        <f>F246</f>
        <v>1</v>
      </c>
      <c r="H144" s="96">
        <f>H246</f>
        <v>1</v>
      </c>
      <c r="I144" s="11">
        <v>42689</v>
      </c>
      <c r="J144" s="11">
        <v>42840</v>
      </c>
      <c r="K144" s="12">
        <f t="shared" si="0"/>
        <v>151</v>
      </c>
      <c r="L144" s="768"/>
      <c r="M144" s="769"/>
      <c r="N144" s="769"/>
      <c r="O144" s="769"/>
      <c r="P144" s="769"/>
      <c r="Q144" s="769"/>
      <c r="R144" s="769"/>
      <c r="S144" s="769"/>
      <c r="T144" s="770"/>
    </row>
    <row r="145" spans="2:20" s="3" customFormat="1" ht="25.5" customHeight="1" x14ac:dyDescent="0.2">
      <c r="B145" s="361" t="s">
        <v>70</v>
      </c>
      <c r="C145" s="362"/>
      <c r="D145" s="363"/>
      <c r="E145" s="400">
        <v>34.69</v>
      </c>
      <c r="F145" s="401"/>
      <c r="G145" s="13">
        <f>+E261</f>
        <v>0.78</v>
      </c>
      <c r="H145" s="27">
        <f>+G261</f>
        <v>0.84289999999999998</v>
      </c>
      <c r="I145" s="11">
        <v>42684</v>
      </c>
      <c r="J145" s="11">
        <v>44923</v>
      </c>
      <c r="K145" s="12">
        <f t="shared" si="0"/>
        <v>2239</v>
      </c>
      <c r="L145" s="768"/>
      <c r="M145" s="769"/>
      <c r="N145" s="769"/>
      <c r="O145" s="769"/>
      <c r="P145" s="769"/>
      <c r="Q145" s="769"/>
      <c r="R145" s="769"/>
      <c r="S145" s="769"/>
      <c r="T145" s="770"/>
    </row>
    <row r="146" spans="2:20" s="3" customFormat="1" ht="23.25" customHeight="1" x14ac:dyDescent="0.2">
      <c r="B146" s="361" t="s">
        <v>488</v>
      </c>
      <c r="C146" s="362"/>
      <c r="D146" s="363"/>
      <c r="E146" s="375">
        <v>4.58</v>
      </c>
      <c r="F146" s="376"/>
      <c r="G146" s="95">
        <f>+H284</f>
        <v>1</v>
      </c>
      <c r="H146" s="96">
        <f>+H281</f>
        <v>1</v>
      </c>
      <c r="I146" s="11">
        <v>42684</v>
      </c>
      <c r="J146" s="11">
        <v>43895</v>
      </c>
      <c r="K146" s="381">
        <f t="shared" si="0"/>
        <v>1211</v>
      </c>
      <c r="L146" s="768"/>
      <c r="M146" s="769"/>
      <c r="N146" s="769"/>
      <c r="O146" s="769"/>
      <c r="P146" s="769"/>
      <c r="Q146" s="769"/>
      <c r="R146" s="769"/>
      <c r="S146" s="769"/>
      <c r="T146" s="770"/>
    </row>
    <row r="147" spans="2:20" s="3" customFormat="1" ht="22.5" customHeight="1" x14ac:dyDescent="0.2">
      <c r="B147" s="361" t="s">
        <v>489</v>
      </c>
      <c r="C147" s="362"/>
      <c r="D147" s="363"/>
      <c r="E147" s="377"/>
      <c r="F147" s="378"/>
      <c r="G147" s="95">
        <f>+F294</f>
        <v>1</v>
      </c>
      <c r="H147" s="96">
        <f>+H294</f>
        <v>1</v>
      </c>
      <c r="I147" s="11">
        <v>42684</v>
      </c>
      <c r="J147" s="11">
        <v>43895</v>
      </c>
      <c r="K147" s="382"/>
      <c r="L147" s="768"/>
      <c r="M147" s="769"/>
      <c r="N147" s="769"/>
      <c r="O147" s="769"/>
      <c r="P147" s="769"/>
      <c r="Q147" s="769"/>
      <c r="R147" s="769"/>
      <c r="S147" s="769"/>
      <c r="T147" s="770"/>
    </row>
    <row r="148" spans="2:20" s="18" customFormat="1" ht="19.5" customHeight="1" x14ac:dyDescent="0.2">
      <c r="B148" s="361" t="s">
        <v>100</v>
      </c>
      <c r="C148" s="362"/>
      <c r="D148" s="363"/>
      <c r="E148" s="379"/>
      <c r="F148" s="380"/>
      <c r="G148" s="95">
        <v>1</v>
      </c>
      <c r="H148" s="96">
        <v>1</v>
      </c>
      <c r="I148" s="14"/>
      <c r="J148" s="14"/>
      <c r="K148" s="383"/>
      <c r="L148" s="768"/>
      <c r="M148" s="769"/>
      <c r="N148" s="769"/>
      <c r="O148" s="769"/>
      <c r="P148" s="769"/>
      <c r="Q148" s="769"/>
      <c r="R148" s="769"/>
      <c r="S148" s="769"/>
      <c r="T148" s="770"/>
    </row>
    <row r="149" spans="2:20" s="18" customFormat="1" ht="21.75" customHeight="1" x14ac:dyDescent="0.25">
      <c r="B149" s="436" t="s">
        <v>71</v>
      </c>
      <c r="C149" s="724"/>
      <c r="D149" s="437"/>
      <c r="E149" s="467">
        <f>SUM(E142:F146)</f>
        <v>100</v>
      </c>
      <c r="F149" s="468"/>
      <c r="G149" s="92">
        <f>+G142*E142+G143*E143+G144*E144+G145*E145+G147*E146</f>
        <v>70.519637000000003</v>
      </c>
      <c r="H149" s="92">
        <f>+H142*E142+H143*E143+H144*E144+H145*E145+H148*E146</f>
        <v>79.320329999999998</v>
      </c>
      <c r="I149" s="93">
        <v>42684</v>
      </c>
      <c r="J149" s="93">
        <v>44549</v>
      </c>
      <c r="K149" s="94">
        <f t="shared" si="0"/>
        <v>1865</v>
      </c>
      <c r="L149" s="768"/>
      <c r="M149" s="769"/>
      <c r="N149" s="769"/>
      <c r="O149" s="769"/>
      <c r="P149" s="769"/>
      <c r="Q149" s="769"/>
      <c r="R149" s="769"/>
      <c r="S149" s="769"/>
      <c r="T149" s="770"/>
    </row>
    <row r="150" spans="2:20" s="18" customFormat="1" ht="14.25" x14ac:dyDescent="0.2">
      <c r="B150" s="67"/>
      <c r="C150" s="67"/>
      <c r="D150" s="67"/>
      <c r="E150" s="13"/>
      <c r="F150" s="13"/>
      <c r="G150" s="15"/>
      <c r="H150" s="14"/>
      <c r="I150" s="16"/>
      <c r="J150" s="14"/>
      <c r="K150" s="14"/>
      <c r="L150" s="771"/>
      <c r="M150" s="772"/>
      <c r="N150" s="772"/>
      <c r="O150" s="772"/>
      <c r="P150" s="772"/>
      <c r="Q150" s="772"/>
      <c r="R150" s="772"/>
      <c r="S150" s="772"/>
      <c r="T150" s="773"/>
    </row>
    <row r="151" spans="2:20" s="3" customFormat="1" ht="15" customHeight="1" x14ac:dyDescent="0.2">
      <c r="B151" s="751" t="s">
        <v>72</v>
      </c>
      <c r="C151" s="752"/>
      <c r="D151" s="752"/>
      <c r="E151" s="752"/>
      <c r="F151" s="752"/>
      <c r="G151" s="752"/>
      <c r="H151" s="752"/>
      <c r="I151" s="752"/>
      <c r="J151" s="752"/>
      <c r="K151" s="752"/>
      <c r="L151" s="752"/>
      <c r="M151" s="752"/>
      <c r="N151" s="752"/>
      <c r="O151" s="752"/>
      <c r="P151" s="752"/>
      <c r="Q151" s="752"/>
      <c r="R151" s="752"/>
      <c r="S151" s="752"/>
      <c r="T151" s="753"/>
    </row>
    <row r="152" spans="2:20" s="3" customFormat="1" ht="22.5" customHeight="1" x14ac:dyDescent="0.2">
      <c r="B152" s="433" t="s">
        <v>405</v>
      </c>
      <c r="C152" s="434"/>
      <c r="D152" s="434"/>
      <c r="E152" s="434"/>
      <c r="F152" s="434"/>
      <c r="G152" s="434"/>
      <c r="H152" s="434"/>
      <c r="I152" s="434"/>
      <c r="J152" s="434"/>
      <c r="K152" s="434"/>
      <c r="L152" s="434"/>
      <c r="M152" s="434"/>
      <c r="N152" s="434"/>
      <c r="O152" s="434"/>
      <c r="P152" s="434"/>
      <c r="Q152" s="434"/>
      <c r="R152" s="434"/>
      <c r="S152" s="434"/>
      <c r="T152" s="435"/>
    </row>
    <row r="153" spans="2:20" s="3" customFormat="1" ht="33.75" customHeight="1" x14ac:dyDescent="0.2">
      <c r="B153" s="422" t="s">
        <v>115</v>
      </c>
      <c r="C153" s="423"/>
      <c r="D153" s="423"/>
      <c r="E153" s="423"/>
      <c r="F153" s="423"/>
      <c r="G153" s="423"/>
      <c r="H153" s="423"/>
      <c r="I153" s="423"/>
      <c r="J153" s="423"/>
      <c r="K153" s="424"/>
      <c r="L153" s="673"/>
      <c r="M153" s="674"/>
      <c r="N153" s="674"/>
      <c r="O153" s="674"/>
      <c r="P153" s="674"/>
      <c r="Q153" s="674"/>
      <c r="R153" s="674"/>
      <c r="S153" s="674"/>
      <c r="T153" s="675"/>
    </row>
    <row r="154" spans="2:20" s="3" customFormat="1" ht="22.5" customHeight="1" x14ac:dyDescent="0.2">
      <c r="B154" s="364" t="s">
        <v>73</v>
      </c>
      <c r="C154" s="364"/>
      <c r="D154" s="364"/>
      <c r="E154" s="365" t="s">
        <v>349</v>
      </c>
      <c r="F154" s="366"/>
      <c r="G154" s="364" t="s">
        <v>63</v>
      </c>
      <c r="H154" s="364"/>
      <c r="I154" s="364" t="s">
        <v>74</v>
      </c>
      <c r="J154" s="364"/>
      <c r="K154" s="364"/>
      <c r="L154" s="676"/>
      <c r="M154" s="677"/>
      <c r="N154" s="677"/>
      <c r="O154" s="677"/>
      <c r="P154" s="677"/>
      <c r="Q154" s="677"/>
      <c r="R154" s="677"/>
      <c r="S154" s="677"/>
      <c r="T154" s="678"/>
    </row>
    <row r="155" spans="2:20" s="3" customFormat="1" ht="22.5" customHeight="1" x14ac:dyDescent="0.2">
      <c r="B155" s="473" t="s">
        <v>75</v>
      </c>
      <c r="C155" s="473"/>
      <c r="D155" s="473"/>
      <c r="E155" s="480">
        <f>+G158</f>
        <v>0.7077</v>
      </c>
      <c r="F155" s="481"/>
      <c r="G155" s="479">
        <v>0.8105</v>
      </c>
      <c r="H155" s="479"/>
      <c r="I155" s="428">
        <f>E155-G155</f>
        <v>-0.1028</v>
      </c>
      <c r="J155" s="428"/>
      <c r="K155" s="428"/>
      <c r="L155" s="676"/>
      <c r="M155" s="677"/>
      <c r="N155" s="677"/>
      <c r="O155" s="677"/>
      <c r="P155" s="677"/>
      <c r="Q155" s="677"/>
      <c r="R155" s="677"/>
      <c r="S155" s="677"/>
      <c r="T155" s="678"/>
    </row>
    <row r="156" spans="2:20" s="3" customFormat="1" ht="22.5" customHeight="1" x14ac:dyDescent="0.2">
      <c r="B156" s="441"/>
      <c r="C156" s="442"/>
      <c r="D156" s="442"/>
      <c r="E156" s="442"/>
      <c r="F156" s="442"/>
      <c r="G156" s="442"/>
      <c r="H156" s="442"/>
      <c r="I156" s="442"/>
      <c r="J156" s="442"/>
      <c r="K156" s="443"/>
      <c r="L156" s="676"/>
      <c r="M156" s="677"/>
      <c r="N156" s="677"/>
      <c r="O156" s="677"/>
      <c r="P156" s="677"/>
      <c r="Q156" s="677"/>
      <c r="R156" s="677"/>
      <c r="S156" s="677"/>
      <c r="T156" s="678"/>
    </row>
    <row r="157" spans="2:20" s="3" customFormat="1" ht="32.25" customHeight="1" x14ac:dyDescent="0.2">
      <c r="B157" s="364" t="s">
        <v>76</v>
      </c>
      <c r="C157" s="364"/>
      <c r="D157" s="364" t="s">
        <v>65</v>
      </c>
      <c r="E157" s="364"/>
      <c r="F157" s="63" t="s">
        <v>77</v>
      </c>
      <c r="G157" s="428" t="s">
        <v>78</v>
      </c>
      <c r="H157" s="428"/>
      <c r="I157" s="63" t="s">
        <v>79</v>
      </c>
      <c r="J157" s="428" t="s">
        <v>80</v>
      </c>
      <c r="K157" s="428"/>
      <c r="L157" s="676"/>
      <c r="M157" s="677"/>
      <c r="N157" s="677"/>
      <c r="O157" s="677"/>
      <c r="P157" s="677"/>
      <c r="Q157" s="677"/>
      <c r="R157" s="677"/>
      <c r="S157" s="677"/>
      <c r="T157" s="678"/>
    </row>
    <row r="158" spans="2:20" s="3" customFormat="1" ht="29.25" customHeight="1" x14ac:dyDescent="0.2">
      <c r="B158" s="390">
        <f>I142</f>
        <v>42684</v>
      </c>
      <c r="C158" s="391"/>
      <c r="D158" s="390">
        <f>J142</f>
        <v>44923</v>
      </c>
      <c r="E158" s="391"/>
      <c r="F158" s="17">
        <f>K142</f>
        <v>2239</v>
      </c>
      <c r="G158" s="755">
        <v>0.7077</v>
      </c>
      <c r="H158" s="756"/>
      <c r="I158" s="756"/>
      <c r="J158" s="756"/>
      <c r="K158" s="757"/>
      <c r="L158" s="676"/>
      <c r="M158" s="677"/>
      <c r="N158" s="677"/>
      <c r="O158" s="677"/>
      <c r="P158" s="677"/>
      <c r="Q158" s="677"/>
      <c r="R158" s="677"/>
      <c r="S158" s="677"/>
      <c r="T158" s="678"/>
    </row>
    <row r="159" spans="2:20" s="3" customFormat="1" ht="25.5" customHeight="1" x14ac:dyDescent="0.2">
      <c r="B159" s="441"/>
      <c r="C159" s="442"/>
      <c r="D159" s="442"/>
      <c r="E159" s="442"/>
      <c r="F159" s="442"/>
      <c r="G159" s="442"/>
      <c r="H159" s="442"/>
      <c r="I159" s="442"/>
      <c r="J159" s="442"/>
      <c r="K159" s="443"/>
      <c r="L159" s="676"/>
      <c r="M159" s="677"/>
      <c r="N159" s="677"/>
      <c r="O159" s="677"/>
      <c r="P159" s="677"/>
      <c r="Q159" s="677"/>
      <c r="R159" s="677"/>
      <c r="S159" s="677"/>
      <c r="T159" s="678"/>
    </row>
    <row r="160" spans="2:20" s="3" customFormat="1" ht="19.5" customHeight="1" x14ac:dyDescent="0.2">
      <c r="B160" s="422" t="s">
        <v>81</v>
      </c>
      <c r="C160" s="423"/>
      <c r="D160" s="423"/>
      <c r="E160" s="423"/>
      <c r="F160" s="423"/>
      <c r="G160" s="423"/>
      <c r="H160" s="423"/>
      <c r="I160" s="423"/>
      <c r="J160" s="423"/>
      <c r="K160" s="424"/>
      <c r="L160" s="679"/>
      <c r="M160" s="680"/>
      <c r="N160" s="680"/>
      <c r="O160" s="680"/>
      <c r="P160" s="680"/>
      <c r="Q160" s="680"/>
      <c r="R160" s="680"/>
      <c r="S160" s="680"/>
      <c r="T160" s="681"/>
    </row>
    <row r="161" spans="2:21" s="3" customFormat="1" ht="22.5" customHeight="1" x14ac:dyDescent="0.2">
      <c r="B161" s="395" t="s">
        <v>82</v>
      </c>
      <c r="C161" s="395"/>
      <c r="D161" s="395"/>
      <c r="E161" s="395"/>
      <c r="F161" s="730" t="s">
        <v>540</v>
      </c>
      <c r="G161" s="730"/>
      <c r="H161" s="730"/>
      <c r="I161" s="730"/>
      <c r="J161" s="444" t="s">
        <v>83</v>
      </c>
      <c r="K161" s="445"/>
      <c r="L161" s="445"/>
      <c r="M161" s="445"/>
      <c r="N161" s="445"/>
      <c r="O161" s="445"/>
      <c r="P161" s="445"/>
      <c r="Q161" s="445"/>
      <c r="R161" s="445"/>
      <c r="S161" s="445"/>
      <c r="T161" s="446"/>
    </row>
    <row r="162" spans="2:21" s="3" customFormat="1" ht="19.5" customHeight="1" x14ac:dyDescent="0.2">
      <c r="B162" s="395" t="s">
        <v>84</v>
      </c>
      <c r="C162" s="395"/>
      <c r="D162" s="395" t="s">
        <v>350</v>
      </c>
      <c r="E162" s="395"/>
      <c r="F162" s="730"/>
      <c r="G162" s="730"/>
      <c r="H162" s="730"/>
      <c r="I162" s="730"/>
      <c r="J162" s="447"/>
      <c r="K162" s="448"/>
      <c r="L162" s="448"/>
      <c r="M162" s="448"/>
      <c r="N162" s="448"/>
      <c r="O162" s="448"/>
      <c r="P162" s="448"/>
      <c r="Q162" s="448"/>
      <c r="R162" s="448"/>
      <c r="S162" s="448"/>
      <c r="T162" s="449"/>
    </row>
    <row r="163" spans="2:21" s="3" customFormat="1" ht="82.9" customHeight="1" x14ac:dyDescent="0.2">
      <c r="B163" s="359" t="s">
        <v>404</v>
      </c>
      <c r="C163" s="360"/>
      <c r="D163" s="359" t="s">
        <v>492</v>
      </c>
      <c r="E163" s="360"/>
      <c r="F163" s="359" t="s">
        <v>1064</v>
      </c>
      <c r="G163" s="396"/>
      <c r="H163" s="396"/>
      <c r="I163" s="360"/>
      <c r="J163" s="414" t="s">
        <v>1174</v>
      </c>
      <c r="K163" s="415"/>
      <c r="L163" s="415"/>
      <c r="M163" s="415"/>
      <c r="N163" s="415"/>
      <c r="O163" s="415"/>
      <c r="P163" s="415"/>
      <c r="Q163" s="415"/>
      <c r="R163" s="415"/>
      <c r="S163" s="415"/>
      <c r="T163" s="416"/>
      <c r="U163" s="282"/>
    </row>
    <row r="164" spans="2:21" s="3" customFormat="1" ht="73.150000000000006" customHeight="1" x14ac:dyDescent="0.2">
      <c r="B164" s="359" t="s">
        <v>522</v>
      </c>
      <c r="C164" s="360"/>
      <c r="D164" s="359" t="s">
        <v>549</v>
      </c>
      <c r="E164" s="360"/>
      <c r="F164" s="388" t="s">
        <v>764</v>
      </c>
      <c r="G164" s="417"/>
      <c r="H164" s="417"/>
      <c r="I164" s="389"/>
      <c r="J164" s="414" t="s">
        <v>1096</v>
      </c>
      <c r="K164" s="415"/>
      <c r="L164" s="415"/>
      <c r="M164" s="415"/>
      <c r="N164" s="415"/>
      <c r="O164" s="415"/>
      <c r="P164" s="415"/>
      <c r="Q164" s="415"/>
      <c r="R164" s="415"/>
      <c r="S164" s="415"/>
      <c r="T164" s="416"/>
      <c r="U164" s="282"/>
    </row>
    <row r="165" spans="2:21" s="3" customFormat="1" ht="52.9" customHeight="1" x14ac:dyDescent="0.2">
      <c r="B165" s="359" t="s">
        <v>549</v>
      </c>
      <c r="C165" s="360"/>
      <c r="D165" s="359" t="s">
        <v>556</v>
      </c>
      <c r="E165" s="360"/>
      <c r="F165" s="388" t="s">
        <v>796</v>
      </c>
      <c r="G165" s="417"/>
      <c r="H165" s="417"/>
      <c r="I165" s="389"/>
      <c r="J165" s="414" t="s">
        <v>1065</v>
      </c>
      <c r="K165" s="415"/>
      <c r="L165" s="415"/>
      <c r="M165" s="415"/>
      <c r="N165" s="415"/>
      <c r="O165" s="415"/>
      <c r="P165" s="415"/>
      <c r="Q165" s="415"/>
      <c r="R165" s="415"/>
      <c r="S165" s="415"/>
      <c r="T165" s="416"/>
      <c r="U165" s="282"/>
    </row>
    <row r="166" spans="2:21" s="3" customFormat="1" ht="43.9" customHeight="1" x14ac:dyDescent="0.2">
      <c r="B166" s="359" t="s">
        <v>821</v>
      </c>
      <c r="C166" s="360"/>
      <c r="D166" s="359" t="s">
        <v>892</v>
      </c>
      <c r="E166" s="360"/>
      <c r="F166" s="388" t="s">
        <v>811</v>
      </c>
      <c r="G166" s="417"/>
      <c r="H166" s="417"/>
      <c r="I166" s="389"/>
      <c r="J166" s="414" t="s">
        <v>1175</v>
      </c>
      <c r="K166" s="415"/>
      <c r="L166" s="415"/>
      <c r="M166" s="415"/>
      <c r="N166" s="415"/>
      <c r="O166" s="415"/>
      <c r="P166" s="415"/>
      <c r="Q166" s="415"/>
      <c r="R166" s="415"/>
      <c r="S166" s="415"/>
      <c r="T166" s="416"/>
      <c r="U166" s="282"/>
    </row>
    <row r="167" spans="2:21" s="3" customFormat="1" ht="71.45" customHeight="1" x14ac:dyDescent="0.2">
      <c r="B167" s="359" t="s">
        <v>913</v>
      </c>
      <c r="C167" s="360"/>
      <c r="D167" s="359" t="s">
        <v>914</v>
      </c>
      <c r="E167" s="360"/>
      <c r="F167" s="388" t="s">
        <v>811</v>
      </c>
      <c r="G167" s="417"/>
      <c r="H167" s="417"/>
      <c r="I167" s="389"/>
      <c r="J167" s="414" t="s">
        <v>1176</v>
      </c>
      <c r="K167" s="415"/>
      <c r="L167" s="415"/>
      <c r="M167" s="415"/>
      <c r="N167" s="415"/>
      <c r="O167" s="415"/>
      <c r="P167" s="415"/>
      <c r="Q167" s="415"/>
      <c r="R167" s="415"/>
      <c r="S167" s="415"/>
      <c r="T167" s="416"/>
      <c r="U167" s="282"/>
    </row>
    <row r="168" spans="2:21" s="3" customFormat="1" ht="61.15" customHeight="1" x14ac:dyDescent="0.2">
      <c r="B168" s="388" t="s">
        <v>914</v>
      </c>
      <c r="C168" s="389"/>
      <c r="D168" s="359" t="s">
        <v>915</v>
      </c>
      <c r="E168" s="360"/>
      <c r="F168" s="388" t="s">
        <v>811</v>
      </c>
      <c r="G168" s="417"/>
      <c r="H168" s="417"/>
      <c r="I168" s="389"/>
      <c r="J168" s="414" t="s">
        <v>1177</v>
      </c>
      <c r="K168" s="415"/>
      <c r="L168" s="415"/>
      <c r="M168" s="415"/>
      <c r="N168" s="415"/>
      <c r="O168" s="415"/>
      <c r="P168" s="415"/>
      <c r="Q168" s="415"/>
      <c r="R168" s="415"/>
      <c r="S168" s="415"/>
      <c r="T168" s="416"/>
      <c r="U168" s="282"/>
    </row>
    <row r="169" spans="2:21" s="3" customFormat="1" ht="54.6" customHeight="1" x14ac:dyDescent="0.2">
      <c r="B169" s="388" t="s">
        <v>809</v>
      </c>
      <c r="C169" s="389"/>
      <c r="D169" s="359" t="s">
        <v>810</v>
      </c>
      <c r="E169" s="360"/>
      <c r="F169" s="388" t="s">
        <v>811</v>
      </c>
      <c r="G169" s="417"/>
      <c r="H169" s="417"/>
      <c r="I169" s="389"/>
      <c r="J169" s="414" t="s">
        <v>1178</v>
      </c>
      <c r="K169" s="415"/>
      <c r="L169" s="415"/>
      <c r="M169" s="415"/>
      <c r="N169" s="415"/>
      <c r="O169" s="415"/>
      <c r="P169" s="415"/>
      <c r="Q169" s="415"/>
      <c r="R169" s="415"/>
      <c r="S169" s="415"/>
      <c r="T169" s="416"/>
      <c r="U169" s="282"/>
    </row>
    <row r="170" spans="2:21" s="3" customFormat="1" ht="127.15" customHeight="1" x14ac:dyDescent="0.2">
      <c r="B170" s="359" t="s">
        <v>797</v>
      </c>
      <c r="C170" s="360"/>
      <c r="D170" s="359" t="s">
        <v>812</v>
      </c>
      <c r="E170" s="360"/>
      <c r="F170" s="388" t="s">
        <v>811</v>
      </c>
      <c r="G170" s="417"/>
      <c r="H170" s="417"/>
      <c r="I170" s="389"/>
      <c r="J170" s="414" t="s">
        <v>1179</v>
      </c>
      <c r="K170" s="415"/>
      <c r="L170" s="415"/>
      <c r="M170" s="415"/>
      <c r="N170" s="415"/>
      <c r="O170" s="415"/>
      <c r="P170" s="415"/>
      <c r="Q170" s="415"/>
      <c r="R170" s="415"/>
      <c r="S170" s="415"/>
      <c r="T170" s="416"/>
      <c r="U170" s="282"/>
    </row>
    <row r="171" spans="2:21" s="3" customFormat="1" ht="82.15" customHeight="1" x14ac:dyDescent="0.2">
      <c r="B171" s="388" t="s">
        <v>567</v>
      </c>
      <c r="C171" s="389"/>
      <c r="D171" s="359"/>
      <c r="E171" s="360"/>
      <c r="F171" s="388" t="s">
        <v>798</v>
      </c>
      <c r="G171" s="417"/>
      <c r="H171" s="417"/>
      <c r="I171" s="389"/>
      <c r="J171" s="414" t="s">
        <v>1197</v>
      </c>
      <c r="K171" s="415"/>
      <c r="L171" s="415"/>
      <c r="M171" s="415"/>
      <c r="N171" s="415"/>
      <c r="O171" s="415"/>
      <c r="P171" s="415"/>
      <c r="Q171" s="415"/>
      <c r="R171" s="415"/>
      <c r="S171" s="415"/>
      <c r="T171" s="416"/>
      <c r="U171" s="282"/>
    </row>
    <row r="172" spans="2:21" s="3" customFormat="1" ht="51.6" customHeight="1" x14ac:dyDescent="0.2">
      <c r="B172" s="388" t="s">
        <v>602</v>
      </c>
      <c r="C172" s="389"/>
      <c r="D172" s="359" t="s">
        <v>603</v>
      </c>
      <c r="E172" s="360"/>
      <c r="F172" s="359" t="s">
        <v>604</v>
      </c>
      <c r="G172" s="396"/>
      <c r="H172" s="396"/>
      <c r="I172" s="360"/>
      <c r="J172" s="414" t="s">
        <v>1180</v>
      </c>
      <c r="K172" s="415"/>
      <c r="L172" s="415"/>
      <c r="M172" s="415"/>
      <c r="N172" s="415"/>
      <c r="O172" s="415"/>
      <c r="P172" s="415"/>
      <c r="Q172" s="415"/>
      <c r="R172" s="415"/>
      <c r="S172" s="415"/>
      <c r="T172" s="416"/>
      <c r="U172" s="282"/>
    </row>
    <row r="173" spans="2:21" s="3" customFormat="1" ht="58.15" customHeight="1" x14ac:dyDescent="0.2">
      <c r="B173" s="388" t="s">
        <v>535</v>
      </c>
      <c r="C173" s="389"/>
      <c r="D173" s="359"/>
      <c r="E173" s="360"/>
      <c r="F173" s="359" t="s">
        <v>799</v>
      </c>
      <c r="G173" s="396"/>
      <c r="H173" s="396"/>
      <c r="I173" s="360"/>
      <c r="J173" s="414" t="s">
        <v>1120</v>
      </c>
      <c r="K173" s="415"/>
      <c r="L173" s="415"/>
      <c r="M173" s="415"/>
      <c r="N173" s="415"/>
      <c r="O173" s="415"/>
      <c r="P173" s="415"/>
      <c r="Q173" s="415"/>
      <c r="R173" s="415"/>
      <c r="S173" s="415"/>
      <c r="T173" s="416"/>
      <c r="U173" s="282"/>
    </row>
    <row r="174" spans="2:21" s="3" customFormat="1" ht="84" customHeight="1" x14ac:dyDescent="0.2">
      <c r="B174" s="388" t="s">
        <v>813</v>
      </c>
      <c r="C174" s="389"/>
      <c r="D174" s="359"/>
      <c r="E174" s="360"/>
      <c r="F174" s="359" t="s">
        <v>1066</v>
      </c>
      <c r="G174" s="396"/>
      <c r="H174" s="396"/>
      <c r="I174" s="360"/>
      <c r="J174" s="414" t="s">
        <v>1181</v>
      </c>
      <c r="K174" s="415"/>
      <c r="L174" s="415"/>
      <c r="M174" s="415"/>
      <c r="N174" s="415"/>
      <c r="O174" s="415"/>
      <c r="P174" s="415"/>
      <c r="Q174" s="415"/>
      <c r="R174" s="415"/>
      <c r="S174" s="415"/>
      <c r="T174" s="416"/>
      <c r="U174" s="282"/>
    </row>
    <row r="175" spans="2:21" s="3" customFormat="1" ht="33.6" customHeight="1" x14ac:dyDescent="0.2">
      <c r="B175" s="388" t="s">
        <v>523</v>
      </c>
      <c r="C175" s="389"/>
      <c r="D175" s="359"/>
      <c r="E175" s="360"/>
      <c r="F175" s="359" t="s">
        <v>814</v>
      </c>
      <c r="G175" s="396"/>
      <c r="H175" s="396"/>
      <c r="I175" s="360"/>
      <c r="J175" s="414" t="s">
        <v>1182</v>
      </c>
      <c r="K175" s="415"/>
      <c r="L175" s="415"/>
      <c r="M175" s="415"/>
      <c r="N175" s="415"/>
      <c r="O175" s="415"/>
      <c r="P175" s="415"/>
      <c r="Q175" s="415"/>
      <c r="R175" s="415"/>
      <c r="S175" s="415"/>
      <c r="T175" s="416"/>
      <c r="U175" s="282"/>
    </row>
    <row r="176" spans="2:21" s="3" customFormat="1" ht="42.6" customHeight="1" x14ac:dyDescent="0.2">
      <c r="B176" s="388" t="s">
        <v>614</v>
      </c>
      <c r="C176" s="389"/>
      <c r="D176" s="359"/>
      <c r="E176" s="360"/>
      <c r="F176" s="359" t="s">
        <v>604</v>
      </c>
      <c r="G176" s="396"/>
      <c r="H176" s="396"/>
      <c r="I176" s="360"/>
      <c r="J176" s="414" t="s">
        <v>819</v>
      </c>
      <c r="K176" s="415"/>
      <c r="L176" s="415"/>
      <c r="M176" s="415"/>
      <c r="N176" s="415"/>
      <c r="O176" s="415"/>
      <c r="P176" s="415"/>
      <c r="Q176" s="415"/>
      <c r="R176" s="415"/>
      <c r="S176" s="415"/>
      <c r="T176" s="416"/>
      <c r="U176" s="282"/>
    </row>
    <row r="177" spans="2:21" s="3" customFormat="1" ht="68.45" customHeight="1" x14ac:dyDescent="0.2">
      <c r="B177" s="388" t="s">
        <v>791</v>
      </c>
      <c r="C177" s="389"/>
      <c r="D177" s="359" t="s">
        <v>605</v>
      </c>
      <c r="E177" s="360"/>
      <c r="F177" s="359" t="s">
        <v>792</v>
      </c>
      <c r="G177" s="396"/>
      <c r="H177" s="396"/>
      <c r="I177" s="360"/>
      <c r="J177" s="414" t="s">
        <v>1067</v>
      </c>
      <c r="K177" s="415"/>
      <c r="L177" s="415"/>
      <c r="M177" s="415"/>
      <c r="N177" s="415"/>
      <c r="O177" s="415"/>
      <c r="P177" s="415"/>
      <c r="Q177" s="415"/>
      <c r="R177" s="415"/>
      <c r="S177" s="415"/>
      <c r="T177" s="416"/>
      <c r="U177" s="282"/>
    </row>
    <row r="178" spans="2:21" s="3" customFormat="1" ht="78.599999999999994" customHeight="1" x14ac:dyDescent="0.2">
      <c r="B178" s="359" t="s">
        <v>568</v>
      </c>
      <c r="C178" s="360"/>
      <c r="D178" s="359" t="s">
        <v>605</v>
      </c>
      <c r="E178" s="360"/>
      <c r="F178" s="388" t="s">
        <v>569</v>
      </c>
      <c r="G178" s="417"/>
      <c r="H178" s="417"/>
      <c r="I178" s="389"/>
      <c r="J178" s="414" t="s">
        <v>1183</v>
      </c>
      <c r="K178" s="415"/>
      <c r="L178" s="415"/>
      <c r="M178" s="415"/>
      <c r="N178" s="415"/>
      <c r="O178" s="415"/>
      <c r="P178" s="415"/>
      <c r="Q178" s="415"/>
      <c r="R178" s="415"/>
      <c r="S178" s="415"/>
      <c r="T178" s="416"/>
      <c r="U178" s="282"/>
    </row>
    <row r="179" spans="2:21" s="3" customFormat="1" ht="160.9" customHeight="1" x14ac:dyDescent="0.2">
      <c r="B179" s="359" t="s">
        <v>506</v>
      </c>
      <c r="C179" s="360"/>
      <c r="D179" s="359"/>
      <c r="E179" s="360"/>
      <c r="F179" s="388" t="s">
        <v>565</v>
      </c>
      <c r="G179" s="417"/>
      <c r="H179" s="417"/>
      <c r="I179" s="389"/>
      <c r="J179" s="414" t="s">
        <v>1184</v>
      </c>
      <c r="K179" s="415"/>
      <c r="L179" s="415"/>
      <c r="M179" s="415"/>
      <c r="N179" s="415"/>
      <c r="O179" s="415"/>
      <c r="P179" s="415"/>
      <c r="Q179" s="415"/>
      <c r="R179" s="415"/>
      <c r="S179" s="415"/>
      <c r="T179" s="416"/>
      <c r="U179" s="282"/>
    </row>
    <row r="180" spans="2:21" s="3" customFormat="1" ht="44.45" customHeight="1" x14ac:dyDescent="0.2">
      <c r="B180" s="388" t="s">
        <v>831</v>
      </c>
      <c r="C180" s="389"/>
      <c r="D180" s="359"/>
      <c r="E180" s="360"/>
      <c r="F180" s="359" t="s">
        <v>832</v>
      </c>
      <c r="G180" s="396"/>
      <c r="H180" s="396"/>
      <c r="I180" s="360"/>
      <c r="J180" s="414" t="s">
        <v>1068</v>
      </c>
      <c r="K180" s="415"/>
      <c r="L180" s="415"/>
      <c r="M180" s="415"/>
      <c r="N180" s="415"/>
      <c r="O180" s="415"/>
      <c r="P180" s="415"/>
      <c r="Q180" s="415"/>
      <c r="R180" s="415"/>
      <c r="S180" s="415"/>
      <c r="T180" s="416"/>
      <c r="U180" s="282"/>
    </row>
    <row r="181" spans="2:21" s="3" customFormat="1" ht="36.6" customHeight="1" x14ac:dyDescent="0.2">
      <c r="B181" s="359" t="s">
        <v>570</v>
      </c>
      <c r="C181" s="360"/>
      <c r="D181" s="359"/>
      <c r="E181" s="360"/>
      <c r="F181" s="388" t="s">
        <v>571</v>
      </c>
      <c r="G181" s="417"/>
      <c r="H181" s="417"/>
      <c r="I181" s="389"/>
      <c r="J181" s="414" t="s">
        <v>1185</v>
      </c>
      <c r="K181" s="415"/>
      <c r="L181" s="415"/>
      <c r="M181" s="415"/>
      <c r="N181" s="415"/>
      <c r="O181" s="415"/>
      <c r="P181" s="415"/>
      <c r="Q181" s="415"/>
      <c r="R181" s="415"/>
      <c r="S181" s="415"/>
      <c r="T181" s="416"/>
      <c r="U181" s="282"/>
    </row>
    <row r="182" spans="2:21" s="3" customFormat="1" ht="83.45" customHeight="1" x14ac:dyDescent="0.2">
      <c r="B182" s="359" t="s">
        <v>800</v>
      </c>
      <c r="C182" s="360"/>
      <c r="D182" s="359" t="s">
        <v>916</v>
      </c>
      <c r="E182" s="360"/>
      <c r="F182" s="388" t="s">
        <v>801</v>
      </c>
      <c r="G182" s="417"/>
      <c r="H182" s="417"/>
      <c r="I182" s="389"/>
      <c r="J182" s="414" t="s">
        <v>1186</v>
      </c>
      <c r="K182" s="415"/>
      <c r="L182" s="415"/>
      <c r="M182" s="415"/>
      <c r="N182" s="415"/>
      <c r="O182" s="415"/>
      <c r="P182" s="415"/>
      <c r="Q182" s="415"/>
      <c r="R182" s="415"/>
      <c r="S182" s="415"/>
      <c r="T182" s="416"/>
      <c r="U182" s="282"/>
    </row>
    <row r="183" spans="2:21" s="3" customFormat="1" ht="112.9" customHeight="1" x14ac:dyDescent="0.2">
      <c r="B183" s="388" t="s">
        <v>493</v>
      </c>
      <c r="C183" s="389"/>
      <c r="D183" s="359"/>
      <c r="E183" s="360"/>
      <c r="F183" s="388" t="s">
        <v>1121</v>
      </c>
      <c r="G183" s="417"/>
      <c r="H183" s="417"/>
      <c r="I183" s="389"/>
      <c r="J183" s="414" t="s">
        <v>1187</v>
      </c>
      <c r="K183" s="415"/>
      <c r="L183" s="415"/>
      <c r="M183" s="415"/>
      <c r="N183" s="415"/>
      <c r="O183" s="415"/>
      <c r="P183" s="415"/>
      <c r="Q183" s="415"/>
      <c r="R183" s="415"/>
      <c r="S183" s="415"/>
      <c r="T183" s="416"/>
      <c r="U183" s="282"/>
    </row>
    <row r="184" spans="2:21" s="3" customFormat="1" ht="126.6" customHeight="1" x14ac:dyDescent="0.2">
      <c r="B184" s="359" t="s">
        <v>524</v>
      </c>
      <c r="C184" s="360"/>
      <c r="D184" s="359"/>
      <c r="E184" s="360"/>
      <c r="F184" s="388" t="s">
        <v>802</v>
      </c>
      <c r="G184" s="417"/>
      <c r="H184" s="417"/>
      <c r="I184" s="389"/>
      <c r="J184" s="414" t="s">
        <v>1069</v>
      </c>
      <c r="K184" s="415"/>
      <c r="L184" s="415"/>
      <c r="M184" s="415"/>
      <c r="N184" s="415"/>
      <c r="O184" s="415"/>
      <c r="P184" s="415"/>
      <c r="Q184" s="415"/>
      <c r="R184" s="415"/>
      <c r="S184" s="415"/>
      <c r="T184" s="416"/>
      <c r="U184" s="282"/>
    </row>
    <row r="185" spans="2:21" s="3" customFormat="1" ht="271.89999999999998" customHeight="1" x14ac:dyDescent="0.2">
      <c r="B185" s="359" t="s">
        <v>566</v>
      </c>
      <c r="C185" s="360"/>
      <c r="D185" s="359" t="s">
        <v>803</v>
      </c>
      <c r="E185" s="360"/>
      <c r="F185" s="388" t="s">
        <v>917</v>
      </c>
      <c r="G185" s="417"/>
      <c r="H185" s="417"/>
      <c r="I185" s="389"/>
      <c r="J185" s="414" t="s">
        <v>1188</v>
      </c>
      <c r="K185" s="415"/>
      <c r="L185" s="415"/>
      <c r="M185" s="415"/>
      <c r="N185" s="415"/>
      <c r="O185" s="415"/>
      <c r="P185" s="415"/>
      <c r="Q185" s="415"/>
      <c r="R185" s="415"/>
      <c r="S185" s="415"/>
      <c r="T185" s="416"/>
      <c r="U185" s="282"/>
    </row>
    <row r="186" spans="2:21" s="3" customFormat="1" ht="111.6" customHeight="1" x14ac:dyDescent="0.2">
      <c r="B186" s="359" t="s">
        <v>740</v>
      </c>
      <c r="C186" s="360"/>
      <c r="D186" s="359"/>
      <c r="E186" s="360"/>
      <c r="F186" s="388" t="s">
        <v>767</v>
      </c>
      <c r="G186" s="417"/>
      <c r="H186" s="417"/>
      <c r="I186" s="389"/>
      <c r="J186" s="414" t="s">
        <v>1189</v>
      </c>
      <c r="K186" s="415"/>
      <c r="L186" s="415"/>
      <c r="M186" s="415"/>
      <c r="N186" s="415"/>
      <c r="O186" s="415"/>
      <c r="P186" s="415"/>
      <c r="Q186" s="415"/>
      <c r="R186" s="415"/>
      <c r="S186" s="415"/>
      <c r="T186" s="416"/>
      <c r="U186" s="282"/>
    </row>
    <row r="187" spans="2:21" s="3" customFormat="1" ht="59.45" customHeight="1" x14ac:dyDescent="0.2">
      <c r="B187" s="359" t="s">
        <v>615</v>
      </c>
      <c r="C187" s="360"/>
      <c r="D187" s="359"/>
      <c r="E187" s="360"/>
      <c r="F187" s="388" t="s">
        <v>768</v>
      </c>
      <c r="G187" s="417"/>
      <c r="H187" s="417"/>
      <c r="I187" s="389"/>
      <c r="J187" s="414" t="s">
        <v>1070</v>
      </c>
      <c r="K187" s="415"/>
      <c r="L187" s="415"/>
      <c r="M187" s="415"/>
      <c r="N187" s="415"/>
      <c r="O187" s="415"/>
      <c r="P187" s="415"/>
      <c r="Q187" s="415"/>
      <c r="R187" s="415"/>
      <c r="S187" s="415"/>
      <c r="T187" s="416"/>
      <c r="U187" s="282"/>
    </row>
    <row r="188" spans="2:21" s="3" customFormat="1" ht="70.900000000000006" customHeight="1" x14ac:dyDescent="0.2">
      <c r="B188" s="359" t="s">
        <v>542</v>
      </c>
      <c r="C188" s="360"/>
      <c r="D188" s="359"/>
      <c r="E188" s="360"/>
      <c r="F188" s="388" t="s">
        <v>769</v>
      </c>
      <c r="G188" s="417"/>
      <c r="H188" s="417"/>
      <c r="I188" s="389"/>
      <c r="J188" s="414" t="s">
        <v>1190</v>
      </c>
      <c r="K188" s="415"/>
      <c r="L188" s="415"/>
      <c r="M188" s="415"/>
      <c r="N188" s="415"/>
      <c r="O188" s="415"/>
      <c r="P188" s="415"/>
      <c r="Q188" s="415"/>
      <c r="R188" s="415"/>
      <c r="S188" s="415"/>
      <c r="T188" s="416"/>
      <c r="U188" s="282"/>
    </row>
    <row r="189" spans="2:21" s="3" customFormat="1" ht="101.45" customHeight="1" x14ac:dyDescent="0.2">
      <c r="B189" s="359" t="s">
        <v>525</v>
      </c>
      <c r="C189" s="360"/>
      <c r="D189" s="359" t="s">
        <v>536</v>
      </c>
      <c r="E189" s="360"/>
      <c r="F189" s="388" t="s">
        <v>741</v>
      </c>
      <c r="G189" s="417"/>
      <c r="H189" s="417"/>
      <c r="I189" s="389"/>
      <c r="J189" s="414" t="s">
        <v>1191</v>
      </c>
      <c r="K189" s="415"/>
      <c r="L189" s="415"/>
      <c r="M189" s="415"/>
      <c r="N189" s="415"/>
      <c r="O189" s="415"/>
      <c r="P189" s="415"/>
      <c r="Q189" s="415"/>
      <c r="R189" s="415"/>
      <c r="S189" s="415"/>
      <c r="T189" s="416"/>
      <c r="U189" s="282"/>
    </row>
    <row r="190" spans="2:21" s="3" customFormat="1" ht="70.150000000000006" customHeight="1" x14ac:dyDescent="0.2">
      <c r="B190" s="359" t="s">
        <v>770</v>
      </c>
      <c r="C190" s="360"/>
      <c r="D190" s="359"/>
      <c r="E190" s="360"/>
      <c r="F190" s="359" t="s">
        <v>771</v>
      </c>
      <c r="G190" s="396"/>
      <c r="H190" s="396"/>
      <c r="I190" s="360"/>
      <c r="J190" s="414" t="s">
        <v>1098</v>
      </c>
      <c r="K190" s="415"/>
      <c r="L190" s="415"/>
      <c r="M190" s="415"/>
      <c r="N190" s="415"/>
      <c r="O190" s="415"/>
      <c r="P190" s="415"/>
      <c r="Q190" s="415"/>
      <c r="R190" s="415"/>
      <c r="S190" s="415"/>
      <c r="T190" s="416"/>
      <c r="U190" s="282"/>
    </row>
    <row r="191" spans="2:21" s="3" customFormat="1" ht="117" customHeight="1" x14ac:dyDescent="0.2">
      <c r="B191" s="359" t="s">
        <v>541</v>
      </c>
      <c r="C191" s="360"/>
      <c r="D191" s="359" t="s">
        <v>772</v>
      </c>
      <c r="E191" s="360"/>
      <c r="F191" s="388" t="s">
        <v>820</v>
      </c>
      <c r="G191" s="417"/>
      <c r="H191" s="417"/>
      <c r="I191" s="389"/>
      <c r="J191" s="414" t="s">
        <v>1192</v>
      </c>
      <c r="K191" s="415"/>
      <c r="L191" s="415"/>
      <c r="M191" s="415"/>
      <c r="N191" s="415"/>
      <c r="O191" s="415"/>
      <c r="P191" s="415"/>
      <c r="Q191" s="415"/>
      <c r="R191" s="415"/>
      <c r="S191" s="415"/>
      <c r="T191" s="416"/>
      <c r="U191" s="282"/>
    </row>
    <row r="192" spans="2:21" s="3" customFormat="1" ht="117.6" customHeight="1" x14ac:dyDescent="0.2">
      <c r="B192" s="359" t="s">
        <v>804</v>
      </c>
      <c r="C192" s="360"/>
      <c r="D192" s="359"/>
      <c r="E192" s="360"/>
      <c r="F192" s="359" t="s">
        <v>805</v>
      </c>
      <c r="G192" s="396"/>
      <c r="H192" s="396"/>
      <c r="I192" s="360"/>
      <c r="J192" s="414" t="s">
        <v>1193</v>
      </c>
      <c r="K192" s="415"/>
      <c r="L192" s="415"/>
      <c r="M192" s="415"/>
      <c r="N192" s="415"/>
      <c r="O192" s="415"/>
      <c r="P192" s="415"/>
      <c r="Q192" s="415"/>
      <c r="R192" s="415"/>
      <c r="S192" s="415"/>
      <c r="T192" s="416"/>
      <c r="U192" s="282"/>
    </row>
    <row r="193" spans="2:21" s="3" customFormat="1" ht="58.15" customHeight="1" x14ac:dyDescent="0.2">
      <c r="B193" s="359" t="s">
        <v>742</v>
      </c>
      <c r="C193" s="360"/>
      <c r="D193" s="359"/>
      <c r="E193" s="360"/>
      <c r="F193" s="388" t="s">
        <v>815</v>
      </c>
      <c r="G193" s="417"/>
      <c r="H193" s="417"/>
      <c r="I193" s="389"/>
      <c r="J193" s="414" t="s">
        <v>1097</v>
      </c>
      <c r="K193" s="415"/>
      <c r="L193" s="415"/>
      <c r="M193" s="415"/>
      <c r="N193" s="415"/>
      <c r="O193" s="415"/>
      <c r="P193" s="415"/>
      <c r="Q193" s="415"/>
      <c r="R193" s="415"/>
      <c r="S193" s="415"/>
      <c r="T193" s="416"/>
      <c r="U193" s="282"/>
    </row>
    <row r="194" spans="2:21" s="3" customFormat="1" ht="183" customHeight="1" x14ac:dyDescent="0.2">
      <c r="B194" s="359" t="s">
        <v>507</v>
      </c>
      <c r="C194" s="360"/>
      <c r="D194" s="359" t="s">
        <v>918</v>
      </c>
      <c r="E194" s="360"/>
      <c r="F194" s="388" t="s">
        <v>919</v>
      </c>
      <c r="G194" s="417"/>
      <c r="H194" s="417"/>
      <c r="I194" s="389"/>
      <c r="J194" s="414" t="s">
        <v>1122</v>
      </c>
      <c r="K194" s="415"/>
      <c r="L194" s="415"/>
      <c r="M194" s="415"/>
      <c r="N194" s="415"/>
      <c r="O194" s="415"/>
      <c r="P194" s="415"/>
      <c r="Q194" s="415"/>
      <c r="R194" s="415"/>
      <c r="S194" s="415"/>
      <c r="T194" s="416"/>
      <c r="U194" s="282"/>
    </row>
    <row r="195" spans="2:21" s="3" customFormat="1" ht="53.45" customHeight="1" x14ac:dyDescent="0.2">
      <c r="B195" s="359" t="s">
        <v>563</v>
      </c>
      <c r="C195" s="360"/>
      <c r="D195" s="359" t="s">
        <v>537</v>
      </c>
      <c r="E195" s="360"/>
      <c r="F195" s="359" t="s">
        <v>616</v>
      </c>
      <c r="G195" s="396"/>
      <c r="H195" s="396"/>
      <c r="I195" s="360"/>
      <c r="J195" s="414" t="s">
        <v>617</v>
      </c>
      <c r="K195" s="415"/>
      <c r="L195" s="415"/>
      <c r="M195" s="415"/>
      <c r="N195" s="415"/>
      <c r="O195" s="415"/>
      <c r="P195" s="415"/>
      <c r="Q195" s="415"/>
      <c r="R195" s="415"/>
      <c r="S195" s="415"/>
      <c r="T195" s="416"/>
      <c r="U195" s="282"/>
    </row>
    <row r="196" spans="2:21" s="3" customFormat="1" ht="63.6" customHeight="1" x14ac:dyDescent="0.2">
      <c r="B196" s="359" t="s">
        <v>537</v>
      </c>
      <c r="C196" s="360"/>
      <c r="D196" s="359" t="s">
        <v>526</v>
      </c>
      <c r="E196" s="360"/>
      <c r="F196" s="359" t="s">
        <v>606</v>
      </c>
      <c r="G196" s="396"/>
      <c r="H196" s="396"/>
      <c r="I196" s="360"/>
      <c r="J196" s="414" t="s">
        <v>1123</v>
      </c>
      <c r="K196" s="415"/>
      <c r="L196" s="415"/>
      <c r="M196" s="415"/>
      <c r="N196" s="415"/>
      <c r="O196" s="415"/>
      <c r="P196" s="415"/>
      <c r="Q196" s="415"/>
      <c r="R196" s="415"/>
      <c r="S196" s="415"/>
      <c r="T196" s="416"/>
      <c r="U196" s="282"/>
    </row>
    <row r="197" spans="2:21" s="3" customFormat="1" ht="84" customHeight="1" x14ac:dyDescent="0.2">
      <c r="B197" s="359" t="s">
        <v>773</v>
      </c>
      <c r="C197" s="360"/>
      <c r="D197" s="359" t="s">
        <v>508</v>
      </c>
      <c r="E197" s="360"/>
      <c r="F197" s="388" t="s">
        <v>564</v>
      </c>
      <c r="G197" s="417"/>
      <c r="H197" s="417"/>
      <c r="I197" s="389"/>
      <c r="J197" s="414" t="s">
        <v>1194</v>
      </c>
      <c r="K197" s="415"/>
      <c r="L197" s="415"/>
      <c r="M197" s="415"/>
      <c r="N197" s="415"/>
      <c r="O197" s="415"/>
      <c r="P197" s="415"/>
      <c r="Q197" s="415"/>
      <c r="R197" s="415"/>
      <c r="S197" s="415"/>
      <c r="T197" s="416"/>
      <c r="U197" s="282"/>
    </row>
    <row r="198" spans="2:21" s="3" customFormat="1" ht="56.45" customHeight="1" x14ac:dyDescent="0.2">
      <c r="B198" s="388"/>
      <c r="C198" s="389"/>
      <c r="D198" s="359"/>
      <c r="E198" s="360"/>
      <c r="F198" s="388" t="s">
        <v>774</v>
      </c>
      <c r="G198" s="417"/>
      <c r="H198" s="417"/>
      <c r="I198" s="389"/>
      <c r="J198" s="414" t="s">
        <v>1071</v>
      </c>
      <c r="K198" s="415"/>
      <c r="L198" s="415"/>
      <c r="M198" s="415"/>
      <c r="N198" s="415"/>
      <c r="O198" s="415"/>
      <c r="P198" s="415"/>
      <c r="Q198" s="415"/>
      <c r="R198" s="415"/>
      <c r="S198" s="415"/>
      <c r="T198" s="416"/>
      <c r="U198" s="282"/>
    </row>
    <row r="199" spans="2:21" s="3" customFormat="1" ht="44.45" customHeight="1" x14ac:dyDescent="0.2">
      <c r="B199" s="388"/>
      <c r="C199" s="389"/>
      <c r="D199" s="359"/>
      <c r="E199" s="360"/>
      <c r="F199" s="359" t="s">
        <v>494</v>
      </c>
      <c r="G199" s="396"/>
      <c r="H199" s="396"/>
      <c r="I199" s="360"/>
      <c r="J199" s="414" t="s">
        <v>793</v>
      </c>
      <c r="K199" s="415"/>
      <c r="L199" s="415"/>
      <c r="M199" s="415"/>
      <c r="N199" s="415"/>
      <c r="O199" s="415"/>
      <c r="P199" s="415"/>
      <c r="Q199" s="415"/>
      <c r="R199" s="415"/>
      <c r="S199" s="415"/>
      <c r="T199" s="416"/>
      <c r="U199" s="282"/>
    </row>
    <row r="200" spans="2:21" s="3" customFormat="1" ht="42.6" customHeight="1" x14ac:dyDescent="0.2">
      <c r="B200" s="359"/>
      <c r="C200" s="360"/>
      <c r="D200" s="359"/>
      <c r="E200" s="360"/>
      <c r="F200" s="359" t="s">
        <v>1195</v>
      </c>
      <c r="G200" s="396"/>
      <c r="H200" s="396"/>
      <c r="I200" s="360"/>
      <c r="J200" s="414" t="s">
        <v>1196</v>
      </c>
      <c r="K200" s="415"/>
      <c r="L200" s="415"/>
      <c r="M200" s="415"/>
      <c r="N200" s="415"/>
      <c r="O200" s="415"/>
      <c r="P200" s="415"/>
      <c r="Q200" s="415"/>
      <c r="R200" s="415"/>
      <c r="S200" s="415"/>
      <c r="T200" s="416"/>
      <c r="U200" s="282"/>
    </row>
    <row r="201" spans="2:21" s="3" customFormat="1" ht="41.65" customHeight="1" x14ac:dyDescent="0.2">
      <c r="B201" s="420" t="s">
        <v>85</v>
      </c>
      <c r="C201" s="425" t="s">
        <v>410</v>
      </c>
      <c r="D201" s="426"/>
      <c r="E201" s="426"/>
      <c r="F201" s="426"/>
      <c r="G201" s="426"/>
      <c r="H201" s="426"/>
      <c r="I201" s="426"/>
      <c r="J201" s="426"/>
      <c r="K201" s="426"/>
      <c r="L201" s="426"/>
      <c r="M201" s="426"/>
      <c r="N201" s="426"/>
      <c r="O201" s="426"/>
      <c r="P201" s="426"/>
      <c r="Q201" s="426"/>
      <c r="R201" s="426"/>
      <c r="S201" s="426"/>
      <c r="T201" s="427"/>
    </row>
    <row r="202" spans="2:21" s="3" customFormat="1" ht="22.5" customHeight="1" x14ac:dyDescent="0.2">
      <c r="B202" s="421"/>
      <c r="C202" s="422" t="s">
        <v>115</v>
      </c>
      <c r="D202" s="423"/>
      <c r="E202" s="423"/>
      <c r="F202" s="423"/>
      <c r="G202" s="423"/>
      <c r="H202" s="423"/>
      <c r="I202" s="423"/>
      <c r="J202" s="423"/>
      <c r="K202" s="423"/>
      <c r="L202" s="424"/>
      <c r="M202" s="422"/>
      <c r="N202" s="423"/>
      <c r="O202" s="423"/>
      <c r="P202" s="423"/>
      <c r="Q202" s="423"/>
      <c r="R202" s="423"/>
      <c r="S202" s="423"/>
      <c r="T202" s="424"/>
    </row>
    <row r="203" spans="2:21" s="3" customFormat="1" ht="22.5" customHeight="1" x14ac:dyDescent="0.2">
      <c r="B203" s="421"/>
      <c r="C203" s="364" t="s">
        <v>73</v>
      </c>
      <c r="D203" s="364"/>
      <c r="E203" s="364"/>
      <c r="F203" s="364" t="s">
        <v>349</v>
      </c>
      <c r="G203" s="364"/>
      <c r="H203" s="364" t="s">
        <v>63</v>
      </c>
      <c r="I203" s="364"/>
      <c r="J203" s="364" t="s">
        <v>86</v>
      </c>
      <c r="K203" s="364"/>
      <c r="L203" s="364"/>
      <c r="M203" s="402"/>
      <c r="N203" s="403"/>
      <c r="O203" s="403"/>
      <c r="P203" s="403"/>
      <c r="Q203" s="403"/>
      <c r="R203" s="403"/>
      <c r="S203" s="403"/>
      <c r="T203" s="404"/>
    </row>
    <row r="204" spans="2:21" s="3" customFormat="1" ht="22.5" customHeight="1" x14ac:dyDescent="0.2">
      <c r="B204" s="421"/>
      <c r="C204" s="473" t="s">
        <v>75</v>
      </c>
      <c r="D204" s="473"/>
      <c r="E204" s="473"/>
      <c r="F204" s="668">
        <f>+H207/100</f>
        <v>0.52010000000000001</v>
      </c>
      <c r="G204" s="668"/>
      <c r="H204" s="479">
        <v>0.6401</v>
      </c>
      <c r="I204" s="479"/>
      <c r="J204" s="428">
        <f>F204-H204</f>
        <v>-0.12</v>
      </c>
      <c r="K204" s="428"/>
      <c r="L204" s="428"/>
      <c r="M204" s="405"/>
      <c r="N204" s="429"/>
      <c r="O204" s="429"/>
      <c r="P204" s="429"/>
      <c r="Q204" s="429"/>
      <c r="R204" s="429"/>
      <c r="S204" s="429"/>
      <c r="T204" s="407"/>
    </row>
    <row r="205" spans="2:21" s="3" customFormat="1" ht="22.5" customHeight="1" x14ac:dyDescent="0.2">
      <c r="B205" s="421"/>
      <c r="C205" s="61"/>
      <c r="D205" s="61"/>
      <c r="E205" s="61"/>
      <c r="F205" s="60"/>
      <c r="G205" s="60"/>
      <c r="H205" s="60"/>
      <c r="I205" s="60"/>
      <c r="J205" s="60"/>
      <c r="K205" s="60"/>
      <c r="L205" s="60"/>
      <c r="M205" s="405"/>
      <c r="N205" s="429"/>
      <c r="O205" s="429"/>
      <c r="P205" s="429"/>
      <c r="Q205" s="429"/>
      <c r="R205" s="429"/>
      <c r="S205" s="429"/>
      <c r="T205" s="407"/>
    </row>
    <row r="206" spans="2:21" s="3" customFormat="1" ht="27" customHeight="1" x14ac:dyDescent="0.2">
      <c r="B206" s="421"/>
      <c r="C206" s="364" t="s">
        <v>76</v>
      </c>
      <c r="D206" s="364"/>
      <c r="E206" s="365" t="s">
        <v>65</v>
      </c>
      <c r="F206" s="366"/>
      <c r="G206" s="63" t="s">
        <v>77</v>
      </c>
      <c r="H206" s="428" t="s">
        <v>78</v>
      </c>
      <c r="I206" s="428"/>
      <c r="J206" s="63" t="s">
        <v>79</v>
      </c>
      <c r="K206" s="428" t="s">
        <v>80</v>
      </c>
      <c r="L206" s="428"/>
      <c r="M206" s="405"/>
      <c r="N206" s="429"/>
      <c r="O206" s="429"/>
      <c r="P206" s="429"/>
      <c r="Q206" s="429"/>
      <c r="R206" s="429"/>
      <c r="S206" s="429"/>
      <c r="T206" s="407"/>
    </row>
    <row r="207" spans="2:21" s="3" customFormat="1" ht="30" customHeight="1" x14ac:dyDescent="0.2">
      <c r="B207" s="421"/>
      <c r="C207" s="390">
        <f>I143</f>
        <v>43044</v>
      </c>
      <c r="D207" s="390"/>
      <c r="E207" s="482">
        <f>J143</f>
        <v>44772</v>
      </c>
      <c r="F207" s="483"/>
      <c r="G207" s="17">
        <f>K143</f>
        <v>1728</v>
      </c>
      <c r="H207" s="695">
        <v>52.01</v>
      </c>
      <c r="I207" s="696"/>
      <c r="J207" s="696"/>
      <c r="K207" s="696"/>
      <c r="L207" s="697"/>
      <c r="M207" s="405"/>
      <c r="N207" s="429"/>
      <c r="O207" s="429"/>
      <c r="P207" s="429"/>
      <c r="Q207" s="429"/>
      <c r="R207" s="429"/>
      <c r="S207" s="429"/>
      <c r="T207" s="407"/>
    </row>
    <row r="208" spans="2:21" s="3" customFormat="1" ht="25.5" customHeight="1" x14ac:dyDescent="0.2">
      <c r="B208" s="421"/>
      <c r="C208" s="61"/>
      <c r="D208" s="62"/>
      <c r="E208" s="59"/>
      <c r="F208" s="17"/>
      <c r="G208" s="20"/>
      <c r="H208" s="20"/>
      <c r="I208" s="17"/>
      <c r="J208" s="19"/>
      <c r="K208" s="19"/>
      <c r="L208" s="60"/>
      <c r="M208" s="405"/>
      <c r="N208" s="429"/>
      <c r="O208" s="429"/>
      <c r="P208" s="429"/>
      <c r="Q208" s="429"/>
      <c r="R208" s="429"/>
      <c r="S208" s="429"/>
      <c r="T208" s="407"/>
    </row>
    <row r="209" spans="2:21" s="3" customFormat="1" ht="19.5" customHeight="1" x14ac:dyDescent="0.2">
      <c r="B209" s="421"/>
      <c r="C209" s="422" t="s">
        <v>81</v>
      </c>
      <c r="D209" s="423"/>
      <c r="E209" s="423"/>
      <c r="F209" s="423"/>
      <c r="G209" s="423"/>
      <c r="H209" s="423"/>
      <c r="I209" s="423"/>
      <c r="J209" s="423"/>
      <c r="K209" s="423"/>
      <c r="L209" s="424"/>
      <c r="M209" s="430"/>
      <c r="N209" s="431"/>
      <c r="O209" s="431"/>
      <c r="P209" s="431"/>
      <c r="Q209" s="431"/>
      <c r="R209" s="431"/>
      <c r="S209" s="431"/>
      <c r="T209" s="432"/>
    </row>
    <row r="210" spans="2:21" s="3" customFormat="1" ht="22.5" customHeight="1" x14ac:dyDescent="0.2">
      <c r="B210" s="421"/>
      <c r="C210" s="469" t="s">
        <v>82</v>
      </c>
      <c r="D210" s="470"/>
      <c r="E210" s="470"/>
      <c r="F210" s="471"/>
      <c r="G210" s="730" t="s">
        <v>495</v>
      </c>
      <c r="H210" s="730"/>
      <c r="I210" s="730"/>
      <c r="J210" s="730"/>
      <c r="K210" s="730" t="s">
        <v>83</v>
      </c>
      <c r="L210" s="730"/>
      <c r="M210" s="730"/>
      <c r="N210" s="730"/>
      <c r="O210" s="730"/>
      <c r="P210" s="730"/>
      <c r="Q210" s="730"/>
      <c r="R210" s="730"/>
      <c r="S210" s="730"/>
      <c r="T210" s="730"/>
    </row>
    <row r="211" spans="2:21" ht="35.25" customHeight="1" x14ac:dyDescent="0.2">
      <c r="B211" s="421"/>
      <c r="C211" s="395" t="s">
        <v>84</v>
      </c>
      <c r="D211" s="395"/>
      <c r="E211" s="469" t="s">
        <v>350</v>
      </c>
      <c r="F211" s="471"/>
      <c r="G211" s="730"/>
      <c r="H211" s="730"/>
      <c r="I211" s="730"/>
      <c r="J211" s="730"/>
      <c r="K211" s="730"/>
      <c r="L211" s="730"/>
      <c r="M211" s="730"/>
      <c r="N211" s="730"/>
      <c r="O211" s="730"/>
      <c r="P211" s="730"/>
      <c r="Q211" s="730"/>
      <c r="R211" s="730"/>
      <c r="S211" s="730"/>
      <c r="T211" s="730"/>
    </row>
    <row r="212" spans="2:21" ht="88.15" customHeight="1" x14ac:dyDescent="0.2">
      <c r="B212" s="421"/>
      <c r="C212" s="418" t="s">
        <v>557</v>
      </c>
      <c r="D212" s="419"/>
      <c r="E212" s="418"/>
      <c r="F212" s="419"/>
      <c r="G212" s="388" t="s">
        <v>528</v>
      </c>
      <c r="H212" s="417"/>
      <c r="I212" s="417"/>
      <c r="J212" s="389"/>
      <c r="K212" s="414" t="s">
        <v>1072</v>
      </c>
      <c r="L212" s="415"/>
      <c r="M212" s="415"/>
      <c r="N212" s="415"/>
      <c r="O212" s="415"/>
      <c r="P212" s="415"/>
      <c r="Q212" s="415"/>
      <c r="R212" s="415"/>
      <c r="S212" s="415"/>
      <c r="T212" s="416"/>
      <c r="U212" s="283"/>
    </row>
    <row r="213" spans="2:21" ht="72" customHeight="1" x14ac:dyDescent="0.2">
      <c r="B213" s="421"/>
      <c r="C213" s="418" t="s">
        <v>775</v>
      </c>
      <c r="D213" s="419"/>
      <c r="E213" s="418"/>
      <c r="F213" s="419"/>
      <c r="G213" s="388" t="s">
        <v>833</v>
      </c>
      <c r="H213" s="417"/>
      <c r="I213" s="417"/>
      <c r="J213" s="389"/>
      <c r="K213" s="414" t="s">
        <v>1198</v>
      </c>
      <c r="L213" s="415"/>
      <c r="M213" s="415"/>
      <c r="N213" s="415"/>
      <c r="O213" s="415"/>
      <c r="P213" s="415"/>
      <c r="Q213" s="415"/>
      <c r="R213" s="415"/>
      <c r="S213" s="415"/>
      <c r="T213" s="416"/>
      <c r="U213" s="283"/>
    </row>
    <row r="214" spans="2:21" ht="125.45" customHeight="1" x14ac:dyDescent="0.2">
      <c r="B214" s="421"/>
      <c r="C214" s="418" t="s">
        <v>558</v>
      </c>
      <c r="D214" s="419"/>
      <c r="E214" s="418"/>
      <c r="F214" s="419"/>
      <c r="G214" s="388" t="s">
        <v>1073</v>
      </c>
      <c r="H214" s="417"/>
      <c r="I214" s="417"/>
      <c r="J214" s="389"/>
      <c r="K214" s="414" t="s">
        <v>1199</v>
      </c>
      <c r="L214" s="415"/>
      <c r="M214" s="415"/>
      <c r="N214" s="415"/>
      <c r="O214" s="415"/>
      <c r="P214" s="415"/>
      <c r="Q214" s="415"/>
      <c r="R214" s="415"/>
      <c r="S214" s="415"/>
      <c r="T214" s="416"/>
      <c r="U214" s="283"/>
    </row>
    <row r="215" spans="2:21" ht="117.6" customHeight="1" x14ac:dyDescent="0.2">
      <c r="B215" s="421"/>
      <c r="C215" s="418" t="s">
        <v>776</v>
      </c>
      <c r="D215" s="419"/>
      <c r="E215" s="418" t="s">
        <v>777</v>
      </c>
      <c r="F215" s="419"/>
      <c r="G215" s="388" t="s">
        <v>822</v>
      </c>
      <c r="H215" s="417"/>
      <c r="I215" s="417"/>
      <c r="J215" s="389"/>
      <c r="K215" s="414" t="s">
        <v>1200</v>
      </c>
      <c r="L215" s="415"/>
      <c r="M215" s="415"/>
      <c r="N215" s="415"/>
      <c r="O215" s="415"/>
      <c r="P215" s="415"/>
      <c r="Q215" s="415"/>
      <c r="R215" s="415"/>
      <c r="S215" s="415"/>
      <c r="T215" s="711"/>
      <c r="U215" s="283"/>
    </row>
    <row r="216" spans="2:21" ht="159.6" customHeight="1" x14ac:dyDescent="0.2">
      <c r="B216" s="421"/>
      <c r="C216" s="418" t="s">
        <v>743</v>
      </c>
      <c r="D216" s="419"/>
      <c r="E216" s="418"/>
      <c r="F216" s="419"/>
      <c r="G216" s="388" t="s">
        <v>1074</v>
      </c>
      <c r="H216" s="417"/>
      <c r="I216" s="417"/>
      <c r="J216" s="389"/>
      <c r="K216" s="414" t="s">
        <v>1124</v>
      </c>
      <c r="L216" s="415"/>
      <c r="M216" s="415"/>
      <c r="N216" s="415"/>
      <c r="O216" s="415"/>
      <c r="P216" s="415"/>
      <c r="Q216" s="415"/>
      <c r="R216" s="415"/>
      <c r="S216" s="415"/>
      <c r="T216" s="416"/>
      <c r="U216" s="283"/>
    </row>
    <row r="217" spans="2:21" s="3" customFormat="1" ht="94.15" customHeight="1" x14ac:dyDescent="0.2">
      <c r="B217" s="421"/>
      <c r="C217" s="418" t="s">
        <v>1099</v>
      </c>
      <c r="D217" s="419"/>
      <c r="E217" s="418"/>
      <c r="F217" s="419"/>
      <c r="G217" s="388" t="s">
        <v>1075</v>
      </c>
      <c r="H217" s="417"/>
      <c r="I217" s="417"/>
      <c r="J217" s="389"/>
      <c r="K217" s="414" t="s">
        <v>1201</v>
      </c>
      <c r="L217" s="415"/>
      <c r="M217" s="415"/>
      <c r="N217" s="415"/>
      <c r="O217" s="415"/>
      <c r="P217" s="415"/>
      <c r="Q217" s="415"/>
      <c r="R217" s="415"/>
      <c r="S217" s="415"/>
      <c r="T217" s="416"/>
      <c r="U217" s="282"/>
    </row>
    <row r="218" spans="2:21" s="3" customFormat="1" ht="69" customHeight="1" x14ac:dyDescent="0.2">
      <c r="B218" s="421"/>
      <c r="C218" s="418" t="s">
        <v>823</v>
      </c>
      <c r="D218" s="419"/>
      <c r="E218" s="418"/>
      <c r="F218" s="419"/>
      <c r="G218" s="388" t="s">
        <v>1125</v>
      </c>
      <c r="H218" s="417"/>
      <c r="I218" s="417"/>
      <c r="J218" s="389"/>
      <c r="K218" s="414" t="s">
        <v>1202</v>
      </c>
      <c r="L218" s="415"/>
      <c r="M218" s="415"/>
      <c r="N218" s="415"/>
      <c r="O218" s="415"/>
      <c r="P218" s="415"/>
      <c r="Q218" s="415"/>
      <c r="R218" s="415"/>
      <c r="S218" s="415"/>
      <c r="T218" s="416"/>
      <c r="U218" s="282"/>
    </row>
    <row r="219" spans="2:21" s="3" customFormat="1" ht="67.900000000000006" customHeight="1" x14ac:dyDescent="0.2">
      <c r="B219" s="421"/>
      <c r="C219" s="418" t="s">
        <v>806</v>
      </c>
      <c r="D219" s="419"/>
      <c r="E219" s="418" t="s">
        <v>824</v>
      </c>
      <c r="F219" s="419"/>
      <c r="G219" s="388" t="s">
        <v>807</v>
      </c>
      <c r="H219" s="417"/>
      <c r="I219" s="417"/>
      <c r="J219" s="389"/>
      <c r="K219" s="414" t="s">
        <v>1076</v>
      </c>
      <c r="L219" s="415"/>
      <c r="M219" s="415"/>
      <c r="N219" s="415"/>
      <c r="O219" s="415"/>
      <c r="P219" s="415"/>
      <c r="Q219" s="415"/>
      <c r="R219" s="415"/>
      <c r="S219" s="415"/>
      <c r="T219" s="416"/>
      <c r="U219" s="282"/>
    </row>
    <row r="220" spans="2:21" s="3" customFormat="1" ht="255" customHeight="1" x14ac:dyDescent="0.2">
      <c r="B220" s="421"/>
      <c r="C220" s="418" t="s">
        <v>618</v>
      </c>
      <c r="D220" s="419"/>
      <c r="E220" s="418" t="s">
        <v>781</v>
      </c>
      <c r="F220" s="419"/>
      <c r="G220" s="388" t="s">
        <v>1077</v>
      </c>
      <c r="H220" s="417"/>
      <c r="I220" s="417"/>
      <c r="J220" s="389"/>
      <c r="K220" s="414" t="s">
        <v>1126</v>
      </c>
      <c r="L220" s="415"/>
      <c r="M220" s="415"/>
      <c r="N220" s="415"/>
      <c r="O220" s="415"/>
      <c r="P220" s="415"/>
      <c r="Q220" s="415"/>
      <c r="R220" s="415"/>
      <c r="S220" s="415"/>
      <c r="T220" s="416"/>
      <c r="U220" s="282"/>
    </row>
    <row r="221" spans="2:21" s="3" customFormat="1" ht="109.15" customHeight="1" x14ac:dyDescent="0.2">
      <c r="B221" s="421"/>
      <c r="C221" s="418" t="s">
        <v>778</v>
      </c>
      <c r="D221" s="419"/>
      <c r="E221" s="418"/>
      <c r="F221" s="419"/>
      <c r="G221" s="388" t="s">
        <v>779</v>
      </c>
      <c r="H221" s="417"/>
      <c r="I221" s="417"/>
      <c r="J221" s="389"/>
      <c r="K221" s="473" t="s">
        <v>1203</v>
      </c>
      <c r="L221" s="473"/>
      <c r="M221" s="473"/>
      <c r="N221" s="473"/>
      <c r="O221" s="473"/>
      <c r="P221" s="473"/>
      <c r="Q221" s="473"/>
      <c r="R221" s="473"/>
      <c r="S221" s="473"/>
      <c r="T221" s="474"/>
      <c r="U221" s="282"/>
    </row>
    <row r="222" spans="2:21" s="3" customFormat="1" ht="100.9" customHeight="1" x14ac:dyDescent="0.2">
      <c r="B222" s="421"/>
      <c r="C222" s="418" t="s">
        <v>532</v>
      </c>
      <c r="D222" s="419"/>
      <c r="E222" s="418"/>
      <c r="F222" s="419"/>
      <c r="G222" s="388" t="s">
        <v>765</v>
      </c>
      <c r="H222" s="417"/>
      <c r="I222" s="417"/>
      <c r="J222" s="389"/>
      <c r="K222" s="414" t="s">
        <v>1204</v>
      </c>
      <c r="L222" s="415"/>
      <c r="M222" s="415"/>
      <c r="N222" s="415"/>
      <c r="O222" s="415"/>
      <c r="P222" s="415"/>
      <c r="Q222" s="415"/>
      <c r="R222" s="415"/>
      <c r="S222" s="415"/>
      <c r="T222" s="416"/>
      <c r="U222" s="282"/>
    </row>
    <row r="223" spans="2:21" s="3" customFormat="1" ht="195.6" customHeight="1" x14ac:dyDescent="0.2">
      <c r="B223" s="98"/>
      <c r="C223" s="418" t="s">
        <v>509</v>
      </c>
      <c r="D223" s="419"/>
      <c r="E223" s="418" t="s">
        <v>816</v>
      </c>
      <c r="F223" s="419"/>
      <c r="G223" s="388" t="s">
        <v>1078</v>
      </c>
      <c r="H223" s="417"/>
      <c r="I223" s="417"/>
      <c r="J223" s="389"/>
      <c r="K223" s="414" t="s">
        <v>1079</v>
      </c>
      <c r="L223" s="415"/>
      <c r="M223" s="415"/>
      <c r="N223" s="415"/>
      <c r="O223" s="415"/>
      <c r="P223" s="415"/>
      <c r="Q223" s="415"/>
      <c r="R223" s="415"/>
      <c r="S223" s="415"/>
      <c r="T223" s="416"/>
      <c r="U223" s="282"/>
    </row>
    <row r="224" spans="2:21" s="3" customFormat="1" ht="54" customHeight="1" x14ac:dyDescent="0.2">
      <c r="B224" s="98"/>
      <c r="C224" s="418" t="s">
        <v>496</v>
      </c>
      <c r="D224" s="419"/>
      <c r="E224" s="418"/>
      <c r="F224" s="419"/>
      <c r="G224" s="472" t="s">
        <v>780</v>
      </c>
      <c r="H224" s="472"/>
      <c r="I224" s="472"/>
      <c r="J224" s="472"/>
      <c r="K224" s="414" t="s">
        <v>1080</v>
      </c>
      <c r="L224" s="415"/>
      <c r="M224" s="415"/>
      <c r="N224" s="415"/>
      <c r="O224" s="415"/>
      <c r="P224" s="415"/>
      <c r="Q224" s="415"/>
      <c r="R224" s="415"/>
      <c r="S224" s="415"/>
      <c r="T224" s="416"/>
      <c r="U224" s="282"/>
    </row>
    <row r="225" spans="2:21" s="3" customFormat="1" ht="46.9" customHeight="1" x14ac:dyDescent="0.2">
      <c r="B225" s="98"/>
      <c r="C225" s="418" t="s">
        <v>515</v>
      </c>
      <c r="D225" s="419"/>
      <c r="E225" s="418"/>
      <c r="F225" s="419"/>
      <c r="G225" s="472" t="s">
        <v>785</v>
      </c>
      <c r="H225" s="472"/>
      <c r="I225" s="472"/>
      <c r="J225" s="472"/>
      <c r="K225" s="754" t="s">
        <v>1081</v>
      </c>
      <c r="L225" s="754"/>
      <c r="M225" s="754"/>
      <c r="N225" s="754"/>
      <c r="O225" s="754"/>
      <c r="P225" s="754"/>
      <c r="Q225" s="754"/>
      <c r="R225" s="754"/>
      <c r="S225" s="754"/>
      <c r="T225" s="754"/>
      <c r="U225" s="282"/>
    </row>
    <row r="226" spans="2:21" s="3" customFormat="1" ht="57.6" customHeight="1" x14ac:dyDescent="0.2">
      <c r="B226" s="113"/>
      <c r="C226" s="418" t="s">
        <v>744</v>
      </c>
      <c r="D226" s="419"/>
      <c r="E226" s="418"/>
      <c r="F226" s="419"/>
      <c r="G226" s="472" t="s">
        <v>745</v>
      </c>
      <c r="H226" s="472"/>
      <c r="I226" s="472"/>
      <c r="J226" s="472"/>
      <c r="K226" s="414" t="s">
        <v>1082</v>
      </c>
      <c r="L226" s="415"/>
      <c r="M226" s="415"/>
      <c r="N226" s="415"/>
      <c r="O226" s="415"/>
      <c r="P226" s="415"/>
      <c r="Q226" s="415"/>
      <c r="R226" s="415"/>
      <c r="S226" s="415"/>
      <c r="T226" s="416"/>
      <c r="U226" s="282"/>
    </row>
    <row r="227" spans="2:21" s="3" customFormat="1" ht="114" customHeight="1" x14ac:dyDescent="0.2">
      <c r="B227" s="113"/>
      <c r="C227" s="418" t="s">
        <v>746</v>
      </c>
      <c r="D227" s="419"/>
      <c r="E227" s="418"/>
      <c r="F227" s="419"/>
      <c r="G227" s="472" t="s">
        <v>782</v>
      </c>
      <c r="H227" s="472"/>
      <c r="I227" s="472"/>
      <c r="J227" s="472"/>
      <c r="K227" s="414" t="s">
        <v>1205</v>
      </c>
      <c r="L227" s="415"/>
      <c r="M227" s="415"/>
      <c r="N227" s="415"/>
      <c r="O227" s="415"/>
      <c r="P227" s="415"/>
      <c r="Q227" s="415"/>
      <c r="R227" s="415"/>
      <c r="S227" s="415"/>
      <c r="T227" s="416"/>
      <c r="U227" s="282"/>
    </row>
    <row r="228" spans="2:21" s="3" customFormat="1" ht="113.45" customHeight="1" x14ac:dyDescent="0.2">
      <c r="B228" s="114"/>
      <c r="C228" s="418" t="s">
        <v>817</v>
      </c>
      <c r="D228" s="419"/>
      <c r="E228" s="418"/>
      <c r="F228" s="419"/>
      <c r="G228" s="472" t="s">
        <v>1083</v>
      </c>
      <c r="H228" s="472"/>
      <c r="I228" s="472"/>
      <c r="J228" s="472"/>
      <c r="K228" s="414" t="s">
        <v>1127</v>
      </c>
      <c r="L228" s="415"/>
      <c r="M228" s="415"/>
      <c r="N228" s="415"/>
      <c r="O228" s="415"/>
      <c r="P228" s="415"/>
      <c r="Q228" s="415"/>
      <c r="R228" s="415"/>
      <c r="S228" s="415"/>
      <c r="T228" s="416"/>
      <c r="U228" s="282"/>
    </row>
    <row r="229" spans="2:21" s="3" customFormat="1" ht="71.45" customHeight="1" x14ac:dyDescent="0.2">
      <c r="B229" s="114"/>
      <c r="C229" s="418" t="s">
        <v>607</v>
      </c>
      <c r="D229" s="419"/>
      <c r="E229" s="418"/>
      <c r="F229" s="419"/>
      <c r="G229" s="388" t="s">
        <v>608</v>
      </c>
      <c r="H229" s="417"/>
      <c r="I229" s="417"/>
      <c r="J229" s="389"/>
      <c r="K229" s="414" t="s">
        <v>1090</v>
      </c>
      <c r="L229" s="415"/>
      <c r="M229" s="415"/>
      <c r="N229" s="415"/>
      <c r="O229" s="415"/>
      <c r="P229" s="415"/>
      <c r="Q229" s="415"/>
      <c r="R229" s="415"/>
      <c r="S229" s="415"/>
      <c r="T229" s="416"/>
      <c r="U229" s="282"/>
    </row>
    <row r="230" spans="2:21" s="3" customFormat="1" ht="86.45" customHeight="1" x14ac:dyDescent="0.2">
      <c r="B230" s="115"/>
      <c r="C230" s="418" t="s">
        <v>1084</v>
      </c>
      <c r="D230" s="419"/>
      <c r="E230" s="418"/>
      <c r="F230" s="419"/>
      <c r="G230" s="388" t="s">
        <v>1085</v>
      </c>
      <c r="H230" s="417"/>
      <c r="I230" s="417"/>
      <c r="J230" s="389"/>
      <c r="K230" s="473" t="s">
        <v>1128</v>
      </c>
      <c r="L230" s="473"/>
      <c r="M230" s="473"/>
      <c r="N230" s="473"/>
      <c r="O230" s="473"/>
      <c r="P230" s="473"/>
      <c r="Q230" s="473"/>
      <c r="R230" s="473"/>
      <c r="S230" s="473"/>
      <c r="T230" s="474"/>
      <c r="U230" s="282"/>
    </row>
    <row r="231" spans="2:21" s="3" customFormat="1" ht="109.15" customHeight="1" x14ac:dyDescent="0.2">
      <c r="B231" s="115"/>
      <c r="C231" s="418" t="s">
        <v>747</v>
      </c>
      <c r="D231" s="419"/>
      <c r="E231" s="418"/>
      <c r="F231" s="419"/>
      <c r="G231" s="388" t="s">
        <v>748</v>
      </c>
      <c r="H231" s="417"/>
      <c r="I231" s="417"/>
      <c r="J231" s="389"/>
      <c r="K231" s="473" t="s">
        <v>1100</v>
      </c>
      <c r="L231" s="473"/>
      <c r="M231" s="473"/>
      <c r="N231" s="473"/>
      <c r="O231" s="473"/>
      <c r="P231" s="473"/>
      <c r="Q231" s="473"/>
      <c r="R231" s="473"/>
      <c r="S231" s="473"/>
      <c r="T231" s="474"/>
      <c r="U231" s="282"/>
    </row>
    <row r="232" spans="2:21" s="3" customFormat="1" ht="43.9" customHeight="1" x14ac:dyDescent="0.2">
      <c r="B232" s="115"/>
      <c r="C232" s="418" t="s">
        <v>749</v>
      </c>
      <c r="D232" s="419"/>
      <c r="E232" s="418"/>
      <c r="F232" s="419"/>
      <c r="G232" s="388" t="s">
        <v>750</v>
      </c>
      <c r="H232" s="417"/>
      <c r="I232" s="417"/>
      <c r="J232" s="389"/>
      <c r="K232" s="484" t="s">
        <v>825</v>
      </c>
      <c r="L232" s="415"/>
      <c r="M232" s="415"/>
      <c r="N232" s="415"/>
      <c r="O232" s="415"/>
      <c r="P232" s="415"/>
      <c r="Q232" s="415"/>
      <c r="R232" s="415"/>
      <c r="S232" s="415"/>
      <c r="T232" s="416"/>
      <c r="U232" s="282"/>
    </row>
    <row r="233" spans="2:21" s="3" customFormat="1" ht="128.44999999999999" customHeight="1" x14ac:dyDescent="0.2">
      <c r="B233" s="114"/>
      <c r="C233" s="418" t="s">
        <v>751</v>
      </c>
      <c r="D233" s="419"/>
      <c r="E233" s="418"/>
      <c r="F233" s="419"/>
      <c r="G233" s="388" t="s">
        <v>905</v>
      </c>
      <c r="H233" s="417"/>
      <c r="I233" s="417"/>
      <c r="J233" s="389"/>
      <c r="K233" s="473" t="s">
        <v>1129</v>
      </c>
      <c r="L233" s="473"/>
      <c r="M233" s="473"/>
      <c r="N233" s="473"/>
      <c r="O233" s="473"/>
      <c r="P233" s="473"/>
      <c r="Q233" s="473"/>
      <c r="R233" s="473"/>
      <c r="S233" s="473"/>
      <c r="T233" s="474"/>
      <c r="U233" s="282"/>
    </row>
    <row r="234" spans="2:21" s="3" customFormat="1" ht="70.150000000000006" customHeight="1" x14ac:dyDescent="0.2">
      <c r="B234" s="125"/>
      <c r="C234" s="418" t="s">
        <v>752</v>
      </c>
      <c r="D234" s="419"/>
      <c r="E234" s="418"/>
      <c r="F234" s="419"/>
      <c r="G234" s="388" t="s">
        <v>753</v>
      </c>
      <c r="H234" s="417"/>
      <c r="I234" s="417"/>
      <c r="J234" s="389"/>
      <c r="K234" s="414" t="s">
        <v>1086</v>
      </c>
      <c r="L234" s="415"/>
      <c r="M234" s="415"/>
      <c r="N234" s="415"/>
      <c r="O234" s="415"/>
      <c r="P234" s="415"/>
      <c r="Q234" s="415"/>
      <c r="R234" s="415"/>
      <c r="S234" s="415"/>
      <c r="T234" s="416"/>
      <c r="U234" s="282"/>
    </row>
    <row r="235" spans="2:21" s="3" customFormat="1" ht="70.150000000000006" customHeight="1" x14ac:dyDescent="0.2">
      <c r="B235" s="125"/>
      <c r="C235" s="418" t="s">
        <v>754</v>
      </c>
      <c r="D235" s="419"/>
      <c r="E235" s="418" t="s">
        <v>755</v>
      </c>
      <c r="F235" s="419"/>
      <c r="G235" s="388" t="s">
        <v>756</v>
      </c>
      <c r="H235" s="417"/>
      <c r="I235" s="417"/>
      <c r="J235" s="389"/>
      <c r="K235" s="414" t="s">
        <v>1087</v>
      </c>
      <c r="L235" s="415"/>
      <c r="M235" s="415"/>
      <c r="N235" s="415"/>
      <c r="O235" s="415"/>
      <c r="P235" s="415"/>
      <c r="Q235" s="415"/>
      <c r="R235" s="415"/>
      <c r="S235" s="415"/>
      <c r="T235" s="416"/>
      <c r="U235" s="282"/>
    </row>
    <row r="236" spans="2:21" s="3" customFormat="1" ht="241.15" customHeight="1" x14ac:dyDescent="0.2">
      <c r="B236" s="126"/>
      <c r="C236" s="418" t="s">
        <v>757</v>
      </c>
      <c r="D236" s="419"/>
      <c r="E236" s="418" t="s">
        <v>834</v>
      </c>
      <c r="F236" s="419"/>
      <c r="G236" s="388" t="s">
        <v>818</v>
      </c>
      <c r="H236" s="417"/>
      <c r="I236" s="417"/>
      <c r="J236" s="389"/>
      <c r="K236" s="414" t="s">
        <v>1206</v>
      </c>
      <c r="L236" s="415"/>
      <c r="M236" s="415"/>
      <c r="N236" s="415"/>
      <c r="O236" s="415"/>
      <c r="P236" s="415"/>
      <c r="Q236" s="415"/>
      <c r="R236" s="415"/>
      <c r="S236" s="415"/>
      <c r="T236" s="416"/>
      <c r="U236" s="282"/>
    </row>
    <row r="237" spans="2:21" s="3" customFormat="1" ht="87" customHeight="1" x14ac:dyDescent="0.2">
      <c r="B237" s="136"/>
      <c r="C237" s="418" t="s">
        <v>1088</v>
      </c>
      <c r="D237" s="419"/>
      <c r="E237" s="418"/>
      <c r="F237" s="419"/>
      <c r="G237" s="388" t="s">
        <v>1089</v>
      </c>
      <c r="H237" s="417"/>
      <c r="I237" s="417"/>
      <c r="J237" s="389"/>
      <c r="K237" s="414" t="s">
        <v>1207</v>
      </c>
      <c r="L237" s="415"/>
      <c r="M237" s="415"/>
      <c r="N237" s="415"/>
      <c r="O237" s="415"/>
      <c r="P237" s="415"/>
      <c r="Q237" s="415"/>
      <c r="R237" s="415"/>
      <c r="S237" s="415"/>
      <c r="T237" s="416"/>
      <c r="U237" s="282"/>
    </row>
    <row r="238" spans="2:21" s="3" customFormat="1" ht="37.9" customHeight="1" x14ac:dyDescent="0.2">
      <c r="B238" s="296"/>
      <c r="C238" s="418" t="s">
        <v>758</v>
      </c>
      <c r="D238" s="419"/>
      <c r="E238" s="418"/>
      <c r="F238" s="419"/>
      <c r="G238" s="388" t="s">
        <v>759</v>
      </c>
      <c r="H238" s="417"/>
      <c r="I238" s="417"/>
      <c r="J238" s="389"/>
      <c r="K238" s="414" t="s">
        <v>826</v>
      </c>
      <c r="L238" s="415"/>
      <c r="M238" s="415"/>
      <c r="N238" s="415"/>
      <c r="O238" s="415"/>
      <c r="P238" s="415"/>
      <c r="Q238" s="415"/>
      <c r="R238" s="415"/>
      <c r="S238" s="415"/>
      <c r="T238" s="416"/>
      <c r="U238" s="282"/>
    </row>
    <row r="239" spans="2:21" s="3" customFormat="1" ht="37.9" customHeight="1" x14ac:dyDescent="0.2">
      <c r="B239" s="296"/>
      <c r="C239" s="418"/>
      <c r="D239" s="419"/>
      <c r="E239" s="418"/>
      <c r="F239" s="419"/>
      <c r="G239" s="388" t="s">
        <v>774</v>
      </c>
      <c r="H239" s="417"/>
      <c r="I239" s="417"/>
      <c r="J239" s="389"/>
      <c r="K239" s="414" t="s">
        <v>1208</v>
      </c>
      <c r="L239" s="415"/>
      <c r="M239" s="415"/>
      <c r="N239" s="415"/>
      <c r="O239" s="415"/>
      <c r="P239" s="415"/>
      <c r="Q239" s="415"/>
      <c r="R239" s="415"/>
      <c r="S239" s="415"/>
      <c r="T239" s="416"/>
      <c r="U239" s="282"/>
    </row>
    <row r="240" spans="2:21" s="3" customFormat="1" ht="37.9" customHeight="1" x14ac:dyDescent="0.2">
      <c r="B240" s="339"/>
      <c r="C240" s="418"/>
      <c r="D240" s="419"/>
      <c r="E240" s="418"/>
      <c r="F240" s="419"/>
      <c r="G240" s="359" t="s">
        <v>494</v>
      </c>
      <c r="H240" s="396"/>
      <c r="I240" s="396"/>
      <c r="J240" s="360"/>
      <c r="K240" s="414" t="s">
        <v>793</v>
      </c>
      <c r="L240" s="415"/>
      <c r="M240" s="415"/>
      <c r="N240" s="415"/>
      <c r="O240" s="415"/>
      <c r="P240" s="415"/>
      <c r="Q240" s="415"/>
      <c r="R240" s="415"/>
      <c r="S240" s="415"/>
      <c r="T240" s="416"/>
      <c r="U240" s="282"/>
    </row>
    <row r="241" spans="2:22" s="3" customFormat="1" ht="43.15" customHeight="1" x14ac:dyDescent="0.2">
      <c r="B241" s="114"/>
      <c r="C241" s="418"/>
      <c r="D241" s="419"/>
      <c r="E241" s="418"/>
      <c r="F241" s="419"/>
      <c r="G241" s="359" t="s">
        <v>1195</v>
      </c>
      <c r="H241" s="396"/>
      <c r="I241" s="396"/>
      <c r="J241" s="360"/>
      <c r="K241" s="414" t="s">
        <v>1196</v>
      </c>
      <c r="L241" s="415"/>
      <c r="M241" s="415"/>
      <c r="N241" s="415"/>
      <c r="O241" s="415"/>
      <c r="P241" s="415"/>
      <c r="Q241" s="415"/>
      <c r="R241" s="415"/>
      <c r="S241" s="415"/>
      <c r="T241" s="416"/>
      <c r="U241" s="282"/>
    </row>
    <row r="242" spans="2:22" s="22" customFormat="1" x14ac:dyDescent="0.2">
      <c r="B242" s="485"/>
      <c r="C242" s="486"/>
      <c r="D242" s="486"/>
      <c r="E242" s="486"/>
      <c r="F242" s="486"/>
      <c r="G242" s="486"/>
      <c r="H242" s="486"/>
      <c r="I242" s="486"/>
      <c r="J242" s="486"/>
      <c r="K242" s="486"/>
      <c r="L242" s="486"/>
      <c r="M242" s="486"/>
      <c r="N242" s="486"/>
      <c r="O242" s="486"/>
      <c r="P242" s="486"/>
      <c r="Q242" s="486"/>
      <c r="R242" s="486"/>
      <c r="S242" s="486"/>
      <c r="T242" s="487"/>
    </row>
    <row r="243" spans="2:22" s="22" customFormat="1" ht="30.4" customHeight="1" x14ac:dyDescent="0.2">
      <c r="B243" s="665" t="s">
        <v>87</v>
      </c>
      <c r="C243" s="433" t="s">
        <v>406</v>
      </c>
      <c r="D243" s="434"/>
      <c r="E243" s="434"/>
      <c r="F243" s="434"/>
      <c r="G243" s="434"/>
      <c r="H243" s="434"/>
      <c r="I243" s="434"/>
      <c r="J243" s="434"/>
      <c r="K243" s="434"/>
      <c r="L243" s="434"/>
      <c r="M243" s="434"/>
      <c r="N243" s="434"/>
      <c r="O243" s="434"/>
      <c r="P243" s="434"/>
      <c r="Q243" s="434"/>
      <c r="R243" s="434"/>
      <c r="S243" s="434"/>
      <c r="T243" s="435"/>
    </row>
    <row r="244" spans="2:22" s="3" customFormat="1" ht="14.1" customHeight="1" x14ac:dyDescent="0.2">
      <c r="B244" s="666"/>
      <c r="C244" s="422" t="s">
        <v>115</v>
      </c>
      <c r="D244" s="423"/>
      <c r="E244" s="423"/>
      <c r="F244" s="423"/>
      <c r="G244" s="423"/>
      <c r="H244" s="423"/>
      <c r="I244" s="423"/>
      <c r="J244" s="423"/>
      <c r="K244" s="423"/>
      <c r="L244" s="424"/>
      <c r="M244" s="673"/>
      <c r="N244" s="674"/>
      <c r="O244" s="674"/>
      <c r="P244" s="674"/>
      <c r="Q244" s="674"/>
      <c r="R244" s="674"/>
      <c r="S244" s="674"/>
      <c r="T244" s="675"/>
    </row>
    <row r="245" spans="2:22" s="3" customFormat="1" ht="15" customHeight="1" x14ac:dyDescent="0.2">
      <c r="B245" s="666"/>
      <c r="C245" s="364" t="s">
        <v>73</v>
      </c>
      <c r="D245" s="364"/>
      <c r="E245" s="364"/>
      <c r="F245" s="364" t="s">
        <v>349</v>
      </c>
      <c r="G245" s="364"/>
      <c r="H245" s="364" t="s">
        <v>63</v>
      </c>
      <c r="I245" s="364"/>
      <c r="J245" s="364" t="s">
        <v>74</v>
      </c>
      <c r="K245" s="364"/>
      <c r="L245" s="364"/>
      <c r="M245" s="676"/>
      <c r="N245" s="677"/>
      <c r="O245" s="677"/>
      <c r="P245" s="677"/>
      <c r="Q245" s="677"/>
      <c r="R245" s="677"/>
      <c r="S245" s="677"/>
      <c r="T245" s="678"/>
    </row>
    <row r="246" spans="2:22" s="3" customFormat="1" ht="21.75" customHeight="1" x14ac:dyDescent="0.2">
      <c r="B246" s="666"/>
      <c r="C246" s="575" t="s">
        <v>75</v>
      </c>
      <c r="D246" s="576"/>
      <c r="E246" s="577"/>
      <c r="F246" s="686">
        <v>1</v>
      </c>
      <c r="G246" s="688"/>
      <c r="H246" s="686">
        <v>1</v>
      </c>
      <c r="I246" s="688"/>
      <c r="J246" s="686">
        <f>F246-H246</f>
        <v>0</v>
      </c>
      <c r="K246" s="687"/>
      <c r="L246" s="688"/>
      <c r="M246" s="676"/>
      <c r="N246" s="677"/>
      <c r="O246" s="677"/>
      <c r="P246" s="677"/>
      <c r="Q246" s="677"/>
      <c r="R246" s="677"/>
      <c r="S246" s="677"/>
      <c r="T246" s="678"/>
      <c r="V246" s="73"/>
    </row>
    <row r="247" spans="2:22" s="3" customFormat="1" ht="22.5" customHeight="1" x14ac:dyDescent="0.2">
      <c r="B247" s="666"/>
      <c r="C247" s="61"/>
      <c r="D247" s="61"/>
      <c r="E247" s="61"/>
      <c r="F247" s="60"/>
      <c r="G247" s="60"/>
      <c r="H247" s="60"/>
      <c r="I247" s="60"/>
      <c r="J247" s="60"/>
      <c r="K247" s="60"/>
      <c r="L247" s="60"/>
      <c r="M247" s="676"/>
      <c r="N247" s="677"/>
      <c r="O247" s="677"/>
      <c r="P247" s="677"/>
      <c r="Q247" s="677"/>
      <c r="R247" s="677"/>
      <c r="S247" s="677"/>
      <c r="T247" s="678"/>
    </row>
    <row r="248" spans="2:22" s="3" customFormat="1" ht="37.9" customHeight="1" x14ac:dyDescent="0.2">
      <c r="B248" s="666"/>
      <c r="C248" s="365" t="s">
        <v>76</v>
      </c>
      <c r="D248" s="366"/>
      <c r="E248" s="365" t="s">
        <v>65</v>
      </c>
      <c r="F248" s="366"/>
      <c r="G248" s="63" t="s">
        <v>77</v>
      </c>
      <c r="H248" s="628" t="s">
        <v>78</v>
      </c>
      <c r="I248" s="630"/>
      <c r="J248" s="63" t="s">
        <v>79</v>
      </c>
      <c r="K248" s="628" t="s">
        <v>80</v>
      </c>
      <c r="L248" s="630"/>
      <c r="M248" s="676"/>
      <c r="N248" s="677"/>
      <c r="O248" s="677"/>
      <c r="P248" s="677"/>
      <c r="Q248" s="677"/>
      <c r="R248" s="677"/>
      <c r="S248" s="677"/>
      <c r="T248" s="678"/>
    </row>
    <row r="249" spans="2:22" s="3" customFormat="1" ht="22.5" customHeight="1" x14ac:dyDescent="0.2">
      <c r="B249" s="666"/>
      <c r="C249" s="482">
        <v>42689</v>
      </c>
      <c r="D249" s="483"/>
      <c r="E249" s="482">
        <v>42840</v>
      </c>
      <c r="F249" s="483"/>
      <c r="G249" s="17">
        <f>+K144</f>
        <v>151</v>
      </c>
      <c r="H249" s="669">
        <f>100/G249</f>
        <v>0.66225165562913912</v>
      </c>
      <c r="I249" s="670"/>
      <c r="J249" s="17">
        <v>20</v>
      </c>
      <c r="K249" s="704">
        <v>100</v>
      </c>
      <c r="L249" s="705"/>
      <c r="M249" s="676"/>
      <c r="N249" s="677"/>
      <c r="O249" s="677"/>
      <c r="P249" s="677"/>
      <c r="Q249" s="677"/>
      <c r="R249" s="677"/>
      <c r="S249" s="677"/>
      <c r="T249" s="678"/>
    </row>
    <row r="250" spans="2:22" s="3" customFormat="1" ht="15.75" customHeight="1" x14ac:dyDescent="0.2">
      <c r="B250" s="666"/>
      <c r="C250" s="61"/>
      <c r="D250" s="62"/>
      <c r="E250" s="59"/>
      <c r="F250" s="17"/>
      <c r="G250" s="20"/>
      <c r="H250" s="20"/>
      <c r="I250" s="17"/>
      <c r="J250" s="19"/>
      <c r="K250" s="19"/>
      <c r="L250" s="60"/>
      <c r="M250" s="676"/>
      <c r="N250" s="677"/>
      <c r="O250" s="677"/>
      <c r="P250" s="677"/>
      <c r="Q250" s="677"/>
      <c r="R250" s="677"/>
      <c r="S250" s="677"/>
      <c r="T250" s="678"/>
    </row>
    <row r="251" spans="2:22" s="3" customFormat="1" ht="29.25" customHeight="1" x14ac:dyDescent="0.2">
      <c r="B251" s="666"/>
      <c r="C251" s="422" t="s">
        <v>81</v>
      </c>
      <c r="D251" s="423"/>
      <c r="E251" s="423"/>
      <c r="F251" s="423"/>
      <c r="G251" s="423"/>
      <c r="H251" s="423"/>
      <c r="I251" s="423"/>
      <c r="J251" s="423"/>
      <c r="K251" s="423"/>
      <c r="L251" s="424"/>
      <c r="M251" s="676"/>
      <c r="N251" s="677"/>
      <c r="O251" s="677"/>
      <c r="P251" s="677"/>
      <c r="Q251" s="677"/>
      <c r="R251" s="677"/>
      <c r="S251" s="677"/>
      <c r="T251" s="678"/>
      <c r="V251" s="23"/>
    </row>
    <row r="252" spans="2:22" s="3" customFormat="1" ht="40.5" customHeight="1" x14ac:dyDescent="0.2">
      <c r="B252" s="666"/>
      <c r="C252" s="692" t="s">
        <v>88</v>
      </c>
      <c r="D252" s="692"/>
      <c r="E252" s="692"/>
      <c r="F252" s="71">
        <v>25</v>
      </c>
      <c r="G252" s="473" t="s">
        <v>89</v>
      </c>
      <c r="H252" s="473"/>
      <c r="I252" s="21">
        <v>15</v>
      </c>
      <c r="J252" s="473" t="s">
        <v>90</v>
      </c>
      <c r="K252" s="473"/>
      <c r="L252" s="59">
        <v>10</v>
      </c>
      <c r="M252" s="679"/>
      <c r="N252" s="680"/>
      <c r="O252" s="680"/>
      <c r="P252" s="680"/>
      <c r="Q252" s="680"/>
      <c r="R252" s="680"/>
      <c r="S252" s="680"/>
      <c r="T252" s="681"/>
    </row>
    <row r="253" spans="2:22" s="3" customFormat="1" ht="27" customHeight="1" x14ac:dyDescent="0.2">
      <c r="B253" s="666"/>
      <c r="C253" s="706" t="s">
        <v>91</v>
      </c>
      <c r="D253" s="707"/>
      <c r="E253" s="707"/>
      <c r="F253" s="707"/>
      <c r="G253" s="707"/>
      <c r="H253" s="707"/>
      <c r="I253" s="707"/>
      <c r="J253" s="707"/>
      <c r="K253" s="707"/>
      <c r="L253" s="707"/>
      <c r="M253" s="707"/>
      <c r="N253" s="707"/>
      <c r="O253" s="707"/>
      <c r="P253" s="707"/>
      <c r="Q253" s="707"/>
      <c r="R253" s="707"/>
      <c r="S253" s="707"/>
      <c r="T253" s="708"/>
    </row>
    <row r="254" spans="2:22" s="3" customFormat="1" ht="22.5" customHeight="1" x14ac:dyDescent="0.2">
      <c r="B254" s="666"/>
      <c r="C254" s="683" t="s">
        <v>82</v>
      </c>
      <c r="D254" s="774"/>
      <c r="E254" s="774"/>
      <c r="F254" s="684"/>
      <c r="G254" s="682" t="s">
        <v>92</v>
      </c>
      <c r="H254" s="682"/>
      <c r="I254" s="682"/>
      <c r="J254" s="364" t="s">
        <v>93</v>
      </c>
      <c r="K254" s="364"/>
      <c r="L254" s="364"/>
      <c r="M254" s="673" t="s">
        <v>83</v>
      </c>
      <c r="N254" s="674"/>
      <c r="O254" s="674"/>
      <c r="P254" s="674"/>
      <c r="Q254" s="674"/>
      <c r="R254" s="674"/>
      <c r="S254" s="674"/>
      <c r="T254" s="675"/>
    </row>
    <row r="255" spans="2:22" s="3" customFormat="1" ht="32.25" customHeight="1" x14ac:dyDescent="0.2">
      <c r="B255" s="666"/>
      <c r="C255" s="682" t="s">
        <v>84</v>
      </c>
      <c r="D255" s="682"/>
      <c r="E255" s="683" t="s">
        <v>350</v>
      </c>
      <c r="F255" s="684"/>
      <c r="G255" s="682"/>
      <c r="H255" s="682"/>
      <c r="I255" s="682"/>
      <c r="J255" s="364"/>
      <c r="K255" s="364"/>
      <c r="L255" s="364"/>
      <c r="M255" s="679"/>
      <c r="N255" s="680"/>
      <c r="O255" s="680"/>
      <c r="P255" s="680"/>
      <c r="Q255" s="680"/>
      <c r="R255" s="680"/>
      <c r="S255" s="680"/>
      <c r="T255" s="681"/>
    </row>
    <row r="256" spans="2:22" s="3" customFormat="1" ht="31.5" customHeight="1" x14ac:dyDescent="0.2">
      <c r="B256" s="666"/>
      <c r="C256" s="671" t="s">
        <v>407</v>
      </c>
      <c r="D256" s="671"/>
      <c r="E256" s="671" t="s">
        <v>408</v>
      </c>
      <c r="F256" s="671"/>
      <c r="G256" s="391" t="s">
        <v>409</v>
      </c>
      <c r="H256" s="391"/>
      <c r="I256" s="391"/>
      <c r="J256" s="710">
        <v>1</v>
      </c>
      <c r="K256" s="710"/>
      <c r="L256" s="710"/>
      <c r="M256" s="709" t="s">
        <v>411</v>
      </c>
      <c r="N256" s="709"/>
      <c r="O256" s="709"/>
      <c r="P256" s="709"/>
      <c r="Q256" s="709"/>
      <c r="R256" s="709"/>
      <c r="S256" s="709"/>
      <c r="T256" s="709"/>
    </row>
    <row r="257" spans="2:21" s="3" customFormat="1" ht="15" customHeight="1" x14ac:dyDescent="0.2">
      <c r="B257" s="365"/>
      <c r="C257" s="534"/>
      <c r="D257" s="534"/>
      <c r="E257" s="534"/>
      <c r="F257" s="534"/>
      <c r="G257" s="534"/>
      <c r="H257" s="534"/>
      <c r="I257" s="534"/>
      <c r="J257" s="534"/>
      <c r="K257" s="534"/>
      <c r="L257" s="534"/>
      <c r="M257" s="534"/>
      <c r="N257" s="534"/>
      <c r="O257" s="534"/>
      <c r="P257" s="534"/>
      <c r="Q257" s="534"/>
      <c r="R257" s="534"/>
      <c r="S257" s="534"/>
      <c r="T257" s="366"/>
    </row>
    <row r="258" spans="2:21" s="3" customFormat="1" ht="27.4" customHeight="1" x14ac:dyDescent="0.2">
      <c r="B258" s="433" t="s">
        <v>70</v>
      </c>
      <c r="C258" s="434"/>
      <c r="D258" s="434"/>
      <c r="E258" s="434"/>
      <c r="F258" s="434"/>
      <c r="G258" s="434"/>
      <c r="H258" s="434"/>
      <c r="I258" s="434"/>
      <c r="J258" s="434"/>
      <c r="K258" s="434"/>
      <c r="L258" s="434"/>
      <c r="M258" s="434"/>
      <c r="N258" s="434"/>
      <c r="O258" s="434"/>
      <c r="P258" s="434"/>
      <c r="Q258" s="434"/>
      <c r="R258" s="434"/>
      <c r="S258" s="434"/>
      <c r="T258" s="435"/>
    </row>
    <row r="259" spans="2:21" s="3" customFormat="1" ht="22.5" customHeight="1" x14ac:dyDescent="0.2">
      <c r="B259" s="422" t="s">
        <v>115</v>
      </c>
      <c r="C259" s="423"/>
      <c r="D259" s="423"/>
      <c r="E259" s="423"/>
      <c r="F259" s="423"/>
      <c r="G259" s="423"/>
      <c r="H259" s="423"/>
      <c r="I259" s="423"/>
      <c r="J259" s="423"/>
      <c r="K259" s="424"/>
      <c r="L259" s="365"/>
      <c r="M259" s="534"/>
      <c r="N259" s="534"/>
      <c r="O259" s="534"/>
      <c r="P259" s="534"/>
      <c r="Q259" s="534"/>
      <c r="R259" s="534"/>
      <c r="S259" s="534"/>
      <c r="T259" s="366"/>
    </row>
    <row r="260" spans="2:21" s="3" customFormat="1" ht="22.5" customHeight="1" x14ac:dyDescent="0.2">
      <c r="B260" s="364" t="s">
        <v>73</v>
      </c>
      <c r="C260" s="364"/>
      <c r="D260" s="364"/>
      <c r="E260" s="365" t="s">
        <v>349</v>
      </c>
      <c r="F260" s="366"/>
      <c r="G260" s="364" t="s">
        <v>63</v>
      </c>
      <c r="H260" s="364"/>
      <c r="I260" s="364" t="s">
        <v>86</v>
      </c>
      <c r="J260" s="364"/>
      <c r="K260" s="364"/>
      <c r="L260" s="402"/>
      <c r="M260" s="403"/>
      <c r="N260" s="403"/>
      <c r="O260" s="403"/>
      <c r="P260" s="403"/>
      <c r="Q260" s="403"/>
      <c r="R260" s="403"/>
      <c r="S260" s="403"/>
      <c r="T260" s="404"/>
    </row>
    <row r="261" spans="2:21" s="3" customFormat="1" ht="22.5" customHeight="1" x14ac:dyDescent="0.2">
      <c r="B261" s="473" t="s">
        <v>75</v>
      </c>
      <c r="C261" s="473"/>
      <c r="D261" s="473"/>
      <c r="E261" s="480">
        <f>+G264/100</f>
        <v>0.78</v>
      </c>
      <c r="F261" s="481"/>
      <c r="G261" s="479">
        <v>0.84289999999999998</v>
      </c>
      <c r="H261" s="479"/>
      <c r="I261" s="428">
        <f>+E261-G261</f>
        <v>-6.2899999999999956E-2</v>
      </c>
      <c r="J261" s="428"/>
      <c r="K261" s="428"/>
      <c r="L261" s="405"/>
      <c r="M261" s="429"/>
      <c r="N261" s="429"/>
      <c r="O261" s="429"/>
      <c r="P261" s="429"/>
      <c r="Q261" s="429"/>
      <c r="R261" s="429"/>
      <c r="S261" s="429"/>
      <c r="T261" s="407"/>
    </row>
    <row r="262" spans="2:21" s="3" customFormat="1" ht="22.5" customHeight="1" x14ac:dyDescent="0.2">
      <c r="B262" s="441"/>
      <c r="C262" s="442"/>
      <c r="D262" s="442"/>
      <c r="E262" s="442"/>
      <c r="F262" s="442"/>
      <c r="G262" s="442"/>
      <c r="H262" s="442"/>
      <c r="I262" s="442"/>
      <c r="J262" s="442"/>
      <c r="K262" s="443"/>
      <c r="L262" s="405"/>
      <c r="M262" s="429"/>
      <c r="N262" s="429"/>
      <c r="O262" s="429"/>
      <c r="P262" s="429"/>
      <c r="Q262" s="429"/>
      <c r="R262" s="429"/>
      <c r="S262" s="429"/>
      <c r="T262" s="407"/>
    </row>
    <row r="263" spans="2:21" s="3" customFormat="1" ht="34.9" customHeight="1" x14ac:dyDescent="0.2">
      <c r="B263" s="364" t="s">
        <v>76</v>
      </c>
      <c r="C263" s="364"/>
      <c r="D263" s="364" t="s">
        <v>65</v>
      </c>
      <c r="E263" s="364"/>
      <c r="F263" s="63" t="s">
        <v>77</v>
      </c>
      <c r="G263" s="628" t="s">
        <v>80</v>
      </c>
      <c r="H263" s="629"/>
      <c r="I263" s="629"/>
      <c r="J263" s="629"/>
      <c r="K263" s="630"/>
      <c r="L263" s="405"/>
      <c r="M263" s="429"/>
      <c r="N263" s="429"/>
      <c r="O263" s="429"/>
      <c r="P263" s="429"/>
      <c r="Q263" s="429"/>
      <c r="R263" s="429"/>
      <c r="S263" s="429"/>
      <c r="T263" s="407"/>
    </row>
    <row r="264" spans="2:21" s="3" customFormat="1" ht="30" customHeight="1" x14ac:dyDescent="0.2">
      <c r="B264" s="390">
        <f>I145</f>
        <v>42684</v>
      </c>
      <c r="C264" s="391"/>
      <c r="D264" s="390">
        <f>J145</f>
        <v>44923</v>
      </c>
      <c r="E264" s="391"/>
      <c r="F264" s="17">
        <f>K145</f>
        <v>2239</v>
      </c>
      <c r="G264" s="695">
        <v>78</v>
      </c>
      <c r="H264" s="696"/>
      <c r="I264" s="696"/>
      <c r="J264" s="696"/>
      <c r="K264" s="697"/>
      <c r="L264" s="405"/>
      <c r="M264" s="429"/>
      <c r="N264" s="429"/>
      <c r="O264" s="429"/>
      <c r="P264" s="429"/>
      <c r="Q264" s="429"/>
      <c r="R264" s="429"/>
      <c r="S264" s="429"/>
      <c r="T264" s="407"/>
    </row>
    <row r="265" spans="2:21" s="3" customFormat="1" ht="25.5" customHeight="1" x14ac:dyDescent="0.2">
      <c r="B265" s="441"/>
      <c r="C265" s="442"/>
      <c r="D265" s="442"/>
      <c r="E265" s="442"/>
      <c r="F265" s="442"/>
      <c r="G265" s="442"/>
      <c r="H265" s="442"/>
      <c r="I265" s="442"/>
      <c r="J265" s="442"/>
      <c r="K265" s="443"/>
      <c r="L265" s="405"/>
      <c r="M265" s="429"/>
      <c r="N265" s="429"/>
      <c r="O265" s="429"/>
      <c r="P265" s="429"/>
      <c r="Q265" s="429"/>
      <c r="R265" s="429"/>
      <c r="S265" s="429"/>
      <c r="T265" s="407"/>
    </row>
    <row r="266" spans="2:21" s="3" customFormat="1" ht="24" customHeight="1" x14ac:dyDescent="0.2">
      <c r="B266" s="422" t="s">
        <v>81</v>
      </c>
      <c r="C266" s="423"/>
      <c r="D266" s="423"/>
      <c r="E266" s="423"/>
      <c r="F266" s="423"/>
      <c r="G266" s="423"/>
      <c r="H266" s="423"/>
      <c r="I266" s="423"/>
      <c r="J266" s="423"/>
      <c r="K266" s="424"/>
      <c r="L266" s="430"/>
      <c r="M266" s="431"/>
      <c r="N266" s="431"/>
      <c r="O266" s="431"/>
      <c r="P266" s="431"/>
      <c r="Q266" s="431"/>
      <c r="R266" s="431"/>
      <c r="S266" s="431"/>
      <c r="T266" s="432"/>
    </row>
    <row r="267" spans="2:21" s="3" customFormat="1" ht="37.5" customHeight="1" x14ac:dyDescent="0.2">
      <c r="B267" s="625" t="s">
        <v>94</v>
      </c>
      <c r="C267" s="626"/>
      <c r="D267" s="626"/>
      <c r="E267" s="626"/>
      <c r="F267" s="627"/>
      <c r="G267" s="776" t="s">
        <v>95</v>
      </c>
      <c r="H267" s="776"/>
      <c r="I267" s="685" t="s">
        <v>96</v>
      </c>
      <c r="J267" s="685"/>
      <c r="K267" s="64" t="s">
        <v>287</v>
      </c>
      <c r="L267" s="625" t="s">
        <v>97</v>
      </c>
      <c r="M267" s="626"/>
      <c r="N267" s="626"/>
      <c r="O267" s="626"/>
      <c r="P267" s="626"/>
      <c r="Q267" s="626"/>
      <c r="R267" s="626"/>
      <c r="S267" s="626"/>
      <c r="T267" s="627"/>
    </row>
    <row r="268" spans="2:21" s="3" customFormat="1" ht="33" customHeight="1" x14ac:dyDescent="0.25">
      <c r="B268" s="698" t="s">
        <v>98</v>
      </c>
      <c r="C268" s="699"/>
      <c r="D268" s="699"/>
      <c r="E268" s="699"/>
      <c r="F268" s="700"/>
      <c r="G268" s="364" t="s">
        <v>99</v>
      </c>
      <c r="H268" s="364"/>
      <c r="I268" s="672" t="s">
        <v>99</v>
      </c>
      <c r="J268" s="672"/>
      <c r="K268" s="24"/>
      <c r="L268" s="701"/>
      <c r="M268" s="702"/>
      <c r="N268" s="702"/>
      <c r="O268" s="702"/>
      <c r="P268" s="702"/>
      <c r="Q268" s="702"/>
      <c r="R268" s="702"/>
      <c r="S268" s="702"/>
      <c r="T268" s="703"/>
    </row>
    <row r="269" spans="2:21" s="3" customFormat="1" ht="28.15" customHeight="1" x14ac:dyDescent="0.2">
      <c r="B269" s="395" t="s">
        <v>82</v>
      </c>
      <c r="C269" s="395"/>
      <c r="D269" s="395"/>
      <c r="E269" s="395"/>
      <c r="F269" s="395" t="s">
        <v>45</v>
      </c>
      <c r="G269" s="395"/>
      <c r="H269" s="395"/>
      <c r="I269" s="395"/>
      <c r="J269" s="444" t="s">
        <v>83</v>
      </c>
      <c r="K269" s="445"/>
      <c r="L269" s="445"/>
      <c r="M269" s="445"/>
      <c r="N269" s="445"/>
      <c r="O269" s="445"/>
      <c r="P269" s="445"/>
      <c r="Q269" s="445"/>
      <c r="R269" s="445"/>
      <c r="S269" s="445"/>
      <c r="T269" s="446"/>
    </row>
    <row r="270" spans="2:21" s="3" customFormat="1" ht="28.15" customHeight="1" x14ac:dyDescent="0.2">
      <c r="B270" s="395" t="s">
        <v>84</v>
      </c>
      <c r="C270" s="395"/>
      <c r="D270" s="395" t="s">
        <v>350</v>
      </c>
      <c r="E270" s="395"/>
      <c r="F270" s="395"/>
      <c r="G270" s="395"/>
      <c r="H270" s="395"/>
      <c r="I270" s="395"/>
      <c r="J270" s="447"/>
      <c r="K270" s="448"/>
      <c r="L270" s="448"/>
      <c r="M270" s="448"/>
      <c r="N270" s="448"/>
      <c r="O270" s="448"/>
      <c r="P270" s="448"/>
      <c r="Q270" s="448"/>
      <c r="R270" s="448"/>
      <c r="S270" s="448"/>
      <c r="T270" s="449"/>
    </row>
    <row r="271" spans="2:21" s="3" customFormat="1" ht="138" customHeight="1" x14ac:dyDescent="0.2">
      <c r="B271" s="359" t="s">
        <v>529</v>
      </c>
      <c r="C271" s="360"/>
      <c r="D271" s="359" t="s">
        <v>530</v>
      </c>
      <c r="E271" s="360"/>
      <c r="F271" s="388" t="s">
        <v>808</v>
      </c>
      <c r="G271" s="417"/>
      <c r="H271" s="417"/>
      <c r="I271" s="389"/>
      <c r="J271" s="414" t="s">
        <v>1209</v>
      </c>
      <c r="K271" s="415"/>
      <c r="L271" s="415"/>
      <c r="M271" s="415"/>
      <c r="N271" s="415"/>
      <c r="O271" s="415"/>
      <c r="P271" s="415"/>
      <c r="Q271" s="415"/>
      <c r="R271" s="415"/>
      <c r="S271" s="415"/>
      <c r="T271" s="416"/>
      <c r="U271" s="282"/>
    </row>
    <row r="272" spans="2:21" s="3" customFormat="1" ht="50.45" customHeight="1" x14ac:dyDescent="0.2">
      <c r="B272" s="359" t="s">
        <v>893</v>
      </c>
      <c r="C272" s="360"/>
      <c r="D272" s="359" t="s">
        <v>894</v>
      </c>
      <c r="E272" s="360"/>
      <c r="F272" s="388" t="s">
        <v>895</v>
      </c>
      <c r="G272" s="417"/>
      <c r="H272" s="417"/>
      <c r="I272" s="389"/>
      <c r="J272" s="414" t="s">
        <v>1210</v>
      </c>
      <c r="K272" s="415"/>
      <c r="L272" s="415"/>
      <c r="M272" s="415"/>
      <c r="N272" s="415"/>
      <c r="O272" s="415"/>
      <c r="P272" s="415"/>
      <c r="Q272" s="415"/>
      <c r="R272" s="415"/>
      <c r="S272" s="415"/>
      <c r="T272" s="416"/>
      <c r="U272" s="282"/>
    </row>
    <row r="273" spans="2:39" s="3" customFormat="1" ht="39" customHeight="1" x14ac:dyDescent="0.2">
      <c r="B273" s="359" t="s">
        <v>498</v>
      </c>
      <c r="C273" s="360"/>
      <c r="D273" s="359" t="s">
        <v>499</v>
      </c>
      <c r="E273" s="360"/>
      <c r="F273" s="359" t="s">
        <v>555</v>
      </c>
      <c r="G273" s="396"/>
      <c r="H273" s="396"/>
      <c r="I273" s="360"/>
      <c r="J273" s="414" t="s">
        <v>527</v>
      </c>
      <c r="K273" s="415"/>
      <c r="L273" s="415"/>
      <c r="M273" s="415"/>
      <c r="N273" s="415"/>
      <c r="O273" s="415"/>
      <c r="P273" s="415"/>
      <c r="Q273" s="415"/>
      <c r="R273" s="415"/>
      <c r="S273" s="415"/>
      <c r="T273" s="416"/>
      <c r="U273" s="282"/>
    </row>
    <row r="274" spans="2:39" s="3" customFormat="1" ht="84" customHeight="1" x14ac:dyDescent="0.2">
      <c r="B274" s="359" t="s">
        <v>562</v>
      </c>
      <c r="C274" s="360"/>
      <c r="D274" s="359"/>
      <c r="E274" s="360"/>
      <c r="F274" s="359" t="s">
        <v>500</v>
      </c>
      <c r="G274" s="396"/>
      <c r="H274" s="396"/>
      <c r="I274" s="360"/>
      <c r="J274" s="414" t="s">
        <v>906</v>
      </c>
      <c r="K274" s="415"/>
      <c r="L274" s="415"/>
      <c r="M274" s="415"/>
      <c r="N274" s="415"/>
      <c r="O274" s="415"/>
      <c r="P274" s="415"/>
      <c r="Q274" s="415"/>
      <c r="R274" s="415"/>
      <c r="S274" s="415"/>
      <c r="T274" s="416"/>
      <c r="U274" s="282"/>
    </row>
    <row r="275" spans="2:39" s="3" customFormat="1" ht="15" customHeight="1" x14ac:dyDescent="0.2">
      <c r="B275" s="365"/>
      <c r="C275" s="534"/>
      <c r="D275" s="534"/>
      <c r="E275" s="534"/>
      <c r="F275" s="534"/>
      <c r="G275" s="534"/>
      <c r="H275" s="534"/>
      <c r="I275" s="534"/>
      <c r="J275" s="534"/>
      <c r="K275" s="534"/>
      <c r="L275" s="534"/>
      <c r="M275" s="534"/>
      <c r="N275" s="534"/>
      <c r="O275" s="534"/>
      <c r="P275" s="534"/>
      <c r="Q275" s="534"/>
      <c r="R275" s="534"/>
      <c r="S275" s="534"/>
      <c r="T275" s="366"/>
    </row>
    <row r="276" spans="2:39" s="3" customFormat="1" ht="22.5" customHeight="1" x14ac:dyDescent="0.2">
      <c r="B276" s="689" t="s">
        <v>100</v>
      </c>
      <c r="C276" s="690"/>
      <c r="D276" s="690"/>
      <c r="E276" s="690"/>
      <c r="F276" s="690"/>
      <c r="G276" s="690"/>
      <c r="H276" s="690"/>
      <c r="I276" s="690"/>
      <c r="J276" s="690"/>
      <c r="K276" s="690"/>
      <c r="L276" s="690"/>
      <c r="M276" s="690"/>
      <c r="N276" s="690"/>
      <c r="O276" s="690"/>
      <c r="P276" s="690"/>
      <c r="Q276" s="690"/>
      <c r="R276" s="690"/>
      <c r="S276" s="690"/>
      <c r="T276" s="691"/>
    </row>
    <row r="277" spans="2:39" s="3" customFormat="1" ht="30.4" customHeight="1" x14ac:dyDescent="0.2">
      <c r="B277" s="665" t="s">
        <v>85</v>
      </c>
      <c r="C277" s="617" t="s">
        <v>497</v>
      </c>
      <c r="D277" s="693"/>
      <c r="E277" s="693"/>
      <c r="F277" s="693"/>
      <c r="G277" s="693"/>
      <c r="H277" s="693"/>
      <c r="I277" s="693"/>
      <c r="J277" s="693"/>
      <c r="K277" s="693"/>
      <c r="L277" s="693"/>
      <c r="M277" s="693"/>
      <c r="N277" s="693"/>
      <c r="O277" s="693"/>
      <c r="P277" s="693"/>
      <c r="Q277" s="693"/>
      <c r="R277" s="693"/>
      <c r="S277" s="693"/>
      <c r="T277" s="694"/>
    </row>
    <row r="278" spans="2:39" s="3" customFormat="1" ht="22.5" customHeight="1" x14ac:dyDescent="0.2">
      <c r="B278" s="666"/>
      <c r="C278" s="422" t="s">
        <v>115</v>
      </c>
      <c r="D278" s="423"/>
      <c r="E278" s="423"/>
      <c r="F278" s="423"/>
      <c r="G278" s="423"/>
      <c r="H278" s="423"/>
      <c r="I278" s="423"/>
      <c r="J278" s="423"/>
      <c r="K278" s="423"/>
      <c r="L278" s="424"/>
      <c r="M278" s="422"/>
      <c r="N278" s="423"/>
      <c r="O278" s="423"/>
      <c r="P278" s="423"/>
      <c r="Q278" s="423"/>
      <c r="R278" s="423"/>
      <c r="S278" s="423"/>
      <c r="T278" s="424"/>
    </row>
    <row r="279" spans="2:39" s="3" customFormat="1" ht="22.5" customHeight="1" x14ac:dyDescent="0.2">
      <c r="B279" s="666"/>
      <c r="C279" s="364" t="s">
        <v>73</v>
      </c>
      <c r="D279" s="364"/>
      <c r="E279" s="364"/>
      <c r="F279" s="364" t="s">
        <v>349</v>
      </c>
      <c r="G279" s="364"/>
      <c r="H279" s="364" t="s">
        <v>63</v>
      </c>
      <c r="I279" s="364"/>
      <c r="J279" s="364" t="s">
        <v>86</v>
      </c>
      <c r="K279" s="364"/>
      <c r="L279" s="364"/>
      <c r="M279" s="402"/>
      <c r="N279" s="403"/>
      <c r="O279" s="403"/>
      <c r="P279" s="403"/>
      <c r="Q279" s="403"/>
      <c r="R279" s="403"/>
      <c r="S279" s="403"/>
      <c r="T279" s="404"/>
    </row>
    <row r="280" spans="2:39" s="3" customFormat="1" ht="22.15" customHeight="1" x14ac:dyDescent="0.2">
      <c r="B280" s="666"/>
      <c r="C280" s="365" t="s">
        <v>73</v>
      </c>
      <c r="D280" s="534"/>
      <c r="E280" s="366"/>
      <c r="F280" s="365" t="s">
        <v>349</v>
      </c>
      <c r="G280" s="366"/>
      <c r="H280" s="365" t="s">
        <v>63</v>
      </c>
      <c r="I280" s="366"/>
      <c r="J280" s="365" t="s">
        <v>86</v>
      </c>
      <c r="K280" s="534"/>
      <c r="L280" s="366"/>
      <c r="M280" s="405"/>
      <c r="N280" s="429"/>
      <c r="O280" s="429"/>
      <c r="P280" s="429"/>
      <c r="Q280" s="429"/>
      <c r="R280" s="429"/>
      <c r="S280" s="429"/>
      <c r="T280" s="407"/>
      <c r="V280" s="46"/>
      <c r="W280" s="46"/>
      <c r="X280" s="46"/>
      <c r="Y280" s="46"/>
      <c r="Z280" s="46"/>
      <c r="AA280" s="46"/>
      <c r="AB280" s="46"/>
      <c r="AC280" s="46"/>
      <c r="AD280" s="46"/>
      <c r="AE280" s="46"/>
      <c r="AF280" s="46"/>
      <c r="AG280" s="46"/>
      <c r="AH280" s="46"/>
      <c r="AI280" s="46"/>
      <c r="AJ280" s="46"/>
      <c r="AK280" s="46"/>
      <c r="AL280" s="46"/>
      <c r="AM280" s="46"/>
    </row>
    <row r="281" spans="2:39" s="3" customFormat="1" ht="14.25" x14ac:dyDescent="0.2">
      <c r="B281" s="666"/>
      <c r="C281" s="473" t="s">
        <v>75</v>
      </c>
      <c r="D281" s="473"/>
      <c r="E281" s="473"/>
      <c r="F281" s="667">
        <f>+H284</f>
        <v>1</v>
      </c>
      <c r="G281" s="667"/>
      <c r="H281" s="667">
        <v>1</v>
      </c>
      <c r="I281" s="667"/>
      <c r="J281" s="667">
        <f>+F281</f>
        <v>1</v>
      </c>
      <c r="K281" s="667"/>
      <c r="L281" s="667"/>
      <c r="M281" s="405"/>
      <c r="N281" s="429"/>
      <c r="O281" s="429"/>
      <c r="P281" s="429"/>
      <c r="Q281" s="429"/>
      <c r="R281" s="429"/>
      <c r="S281" s="429"/>
      <c r="T281" s="407"/>
      <c r="V281" s="46"/>
      <c r="W281" s="46"/>
      <c r="X281" s="46"/>
      <c r="Y281" s="46"/>
      <c r="Z281" s="46"/>
      <c r="AA281" s="46"/>
      <c r="AB281" s="46"/>
      <c r="AC281" s="46"/>
      <c r="AD281" s="46"/>
      <c r="AE281" s="46"/>
      <c r="AF281" s="46"/>
      <c r="AG281" s="46"/>
      <c r="AH281" s="46"/>
      <c r="AI281" s="46"/>
      <c r="AJ281" s="46"/>
      <c r="AK281" s="46"/>
      <c r="AL281" s="46"/>
      <c r="AM281" s="46"/>
    </row>
    <row r="282" spans="2:39" s="3" customFormat="1" ht="14.25" customHeight="1" x14ac:dyDescent="0.2">
      <c r="B282" s="666"/>
      <c r="C282" s="91"/>
      <c r="D282" s="91"/>
      <c r="E282" s="91"/>
      <c r="F282" s="90"/>
      <c r="G282" s="90"/>
      <c r="H282" s="90"/>
      <c r="I282" s="90"/>
      <c r="J282" s="90"/>
      <c r="K282" s="90"/>
      <c r="L282" s="90"/>
      <c r="M282" s="405"/>
      <c r="N282" s="429"/>
      <c r="O282" s="429"/>
      <c r="P282" s="429"/>
      <c r="Q282" s="429"/>
      <c r="R282" s="429"/>
      <c r="S282" s="429"/>
      <c r="T282" s="407"/>
    </row>
    <row r="283" spans="2:39" ht="30" x14ac:dyDescent="0.2">
      <c r="B283" s="666"/>
      <c r="C283" s="364" t="s">
        <v>76</v>
      </c>
      <c r="D283" s="364"/>
      <c r="E283" s="365" t="s">
        <v>65</v>
      </c>
      <c r="F283" s="366"/>
      <c r="G283" s="89" t="s">
        <v>77</v>
      </c>
      <c r="H283" s="628" t="s">
        <v>80</v>
      </c>
      <c r="I283" s="629"/>
      <c r="J283" s="629"/>
      <c r="K283" s="629"/>
      <c r="L283" s="630"/>
      <c r="M283" s="405"/>
      <c r="N283" s="429"/>
      <c r="O283" s="429"/>
      <c r="P283" s="429"/>
      <c r="Q283" s="429"/>
      <c r="R283" s="429"/>
      <c r="S283" s="429"/>
      <c r="T283" s="407"/>
    </row>
    <row r="284" spans="2:39" ht="27.75" customHeight="1" x14ac:dyDescent="0.2">
      <c r="B284" s="666"/>
      <c r="C284" s="390">
        <f>I147</f>
        <v>42684</v>
      </c>
      <c r="D284" s="390"/>
      <c r="E284" s="482">
        <f>J147</f>
        <v>43895</v>
      </c>
      <c r="F284" s="483"/>
      <c r="G284" s="17">
        <f>+K147</f>
        <v>0</v>
      </c>
      <c r="H284" s="636">
        <v>1</v>
      </c>
      <c r="I284" s="637"/>
      <c r="J284" s="637"/>
      <c r="K284" s="637"/>
      <c r="L284" s="638"/>
      <c r="M284" s="405"/>
      <c r="N284" s="429"/>
      <c r="O284" s="429"/>
      <c r="P284" s="429"/>
      <c r="Q284" s="429"/>
      <c r="R284" s="429"/>
      <c r="S284" s="429"/>
      <c r="T284" s="407"/>
    </row>
    <row r="285" spans="2:39" ht="14.1" customHeight="1" x14ac:dyDescent="0.2">
      <c r="B285" s="666"/>
      <c r="C285" s="365" t="s">
        <v>81</v>
      </c>
      <c r="D285" s="534"/>
      <c r="E285" s="534"/>
      <c r="F285" s="534"/>
      <c r="G285" s="534"/>
      <c r="H285" s="534"/>
      <c r="I285" s="534"/>
      <c r="J285" s="534"/>
      <c r="K285" s="534"/>
      <c r="L285" s="366"/>
      <c r="M285" s="430"/>
      <c r="N285" s="431"/>
      <c r="O285" s="431"/>
      <c r="P285" s="431"/>
      <c r="Q285" s="431"/>
      <c r="R285" s="431"/>
      <c r="S285" s="431"/>
      <c r="T285" s="432"/>
    </row>
    <row r="286" spans="2:39" s="3" customFormat="1" ht="15" customHeight="1" x14ac:dyDescent="0.2">
      <c r="B286" s="666"/>
      <c r="C286" s="365" t="s">
        <v>94</v>
      </c>
      <c r="D286" s="534"/>
      <c r="E286" s="534"/>
      <c r="F286" s="534"/>
      <c r="G286" s="366"/>
      <c r="H286" s="364" t="s">
        <v>101</v>
      </c>
      <c r="I286" s="364"/>
      <c r="J286" s="364" t="s">
        <v>96</v>
      </c>
      <c r="K286" s="364"/>
      <c r="L286" s="88" t="s">
        <v>287</v>
      </c>
      <c r="M286" s="625" t="s">
        <v>97</v>
      </c>
      <c r="N286" s="626"/>
      <c r="O286" s="626"/>
      <c r="P286" s="626"/>
      <c r="Q286" s="626"/>
      <c r="R286" s="626"/>
      <c r="S286" s="626"/>
      <c r="T286" s="627"/>
    </row>
    <row r="287" spans="2:39" ht="15" x14ac:dyDescent="0.2">
      <c r="B287" s="666"/>
      <c r="C287" s="365" t="s">
        <v>99</v>
      </c>
      <c r="D287" s="534"/>
      <c r="E287" s="534"/>
      <c r="F287" s="534"/>
      <c r="G287" s="366"/>
      <c r="H287" s="364" t="s">
        <v>99</v>
      </c>
      <c r="I287" s="364"/>
      <c r="J287" s="635" t="s">
        <v>99</v>
      </c>
      <c r="K287" s="635"/>
      <c r="L287" s="89" t="s">
        <v>99</v>
      </c>
      <c r="M287" s="441"/>
      <c r="N287" s="442"/>
      <c r="O287" s="442"/>
      <c r="P287" s="442"/>
      <c r="Q287" s="442"/>
      <c r="R287" s="442"/>
      <c r="S287" s="442"/>
      <c r="T287" s="443"/>
    </row>
    <row r="288" spans="2:39" ht="24" customHeight="1" x14ac:dyDescent="0.2">
      <c r="B288" s="666"/>
      <c r="C288" s="364" t="s">
        <v>82</v>
      </c>
      <c r="D288" s="364"/>
      <c r="E288" s="364"/>
      <c r="F288" s="364"/>
      <c r="G288" s="364" t="s">
        <v>45</v>
      </c>
      <c r="H288" s="364"/>
      <c r="I288" s="364"/>
      <c r="J288" s="364"/>
      <c r="K288" s="631" t="s">
        <v>559</v>
      </c>
      <c r="L288" s="631"/>
      <c r="M288" s="631"/>
      <c r="N288" s="631"/>
      <c r="O288" s="631"/>
      <c r="P288" s="631"/>
      <c r="Q288" s="631"/>
      <c r="R288" s="631"/>
      <c r="S288" s="631"/>
      <c r="T288" s="632"/>
    </row>
    <row r="289" spans="2:23" ht="23.45" customHeight="1" x14ac:dyDescent="0.2">
      <c r="B289" s="666"/>
      <c r="C289" s="364" t="s">
        <v>84</v>
      </c>
      <c r="D289" s="364"/>
      <c r="E289" s="364" t="s">
        <v>350</v>
      </c>
      <c r="F289" s="364"/>
      <c r="G289" s="364"/>
      <c r="H289" s="364"/>
      <c r="I289" s="364"/>
      <c r="J289" s="364"/>
      <c r="K289" s="633"/>
      <c r="L289" s="633"/>
      <c r="M289" s="633"/>
      <c r="N289" s="633"/>
      <c r="O289" s="633"/>
      <c r="P289" s="633"/>
      <c r="Q289" s="633"/>
      <c r="R289" s="633"/>
      <c r="S289" s="633"/>
      <c r="T289" s="634"/>
    </row>
    <row r="290" spans="2:23" ht="27.75" customHeight="1" x14ac:dyDescent="0.2">
      <c r="B290" s="365"/>
      <c r="C290" s="534"/>
      <c r="D290" s="534"/>
      <c r="E290" s="534"/>
      <c r="F290" s="534"/>
      <c r="G290" s="534"/>
      <c r="H290" s="534"/>
      <c r="I290" s="534"/>
      <c r="J290" s="534"/>
      <c r="K290" s="534"/>
      <c r="L290" s="534"/>
      <c r="M290" s="534"/>
      <c r="N290" s="534"/>
      <c r="O290" s="534"/>
      <c r="P290" s="534"/>
      <c r="Q290" s="534"/>
      <c r="R290" s="534"/>
      <c r="S290" s="534"/>
      <c r="T290" s="366"/>
    </row>
    <row r="291" spans="2:23" ht="27" customHeight="1" x14ac:dyDescent="0.2">
      <c r="B291" s="665" t="s">
        <v>87</v>
      </c>
      <c r="C291" s="616" t="s">
        <v>412</v>
      </c>
      <c r="D291" s="617"/>
      <c r="E291" s="617"/>
      <c r="F291" s="617"/>
      <c r="G291" s="617"/>
      <c r="H291" s="617"/>
      <c r="I291" s="617"/>
      <c r="J291" s="617"/>
      <c r="K291" s="617"/>
      <c r="L291" s="617"/>
      <c r="M291" s="617"/>
      <c r="N291" s="617"/>
      <c r="O291" s="617"/>
      <c r="P291" s="617"/>
      <c r="Q291" s="617"/>
      <c r="R291" s="617"/>
      <c r="S291" s="617"/>
      <c r="T291" s="618"/>
    </row>
    <row r="292" spans="2:23" ht="22.15" customHeight="1" x14ac:dyDescent="0.2">
      <c r="B292" s="666"/>
      <c r="C292" s="422" t="s">
        <v>115</v>
      </c>
      <c r="D292" s="423"/>
      <c r="E292" s="423"/>
      <c r="F292" s="423"/>
      <c r="G292" s="423"/>
      <c r="H292" s="423"/>
      <c r="I292" s="423"/>
      <c r="J292" s="423"/>
      <c r="K292" s="423"/>
      <c r="L292" s="424"/>
      <c r="M292" s="422"/>
      <c r="N292" s="423"/>
      <c r="O292" s="423"/>
      <c r="P292" s="423"/>
      <c r="Q292" s="423"/>
      <c r="R292" s="423"/>
      <c r="S292" s="423"/>
      <c r="T292" s="424"/>
    </row>
    <row r="293" spans="2:23" ht="27.75" customHeight="1" x14ac:dyDescent="0.2">
      <c r="B293" s="666"/>
      <c r="C293" s="364" t="s">
        <v>73</v>
      </c>
      <c r="D293" s="364"/>
      <c r="E293" s="364"/>
      <c r="F293" s="364" t="s">
        <v>349</v>
      </c>
      <c r="G293" s="364"/>
      <c r="H293" s="364" t="s">
        <v>63</v>
      </c>
      <c r="I293" s="364"/>
      <c r="J293" s="364" t="s">
        <v>74</v>
      </c>
      <c r="K293" s="364"/>
      <c r="L293" s="364"/>
      <c r="M293" s="402"/>
      <c r="N293" s="403"/>
      <c r="O293" s="403"/>
      <c r="P293" s="403"/>
      <c r="Q293" s="403"/>
      <c r="R293" s="403"/>
      <c r="S293" s="403"/>
      <c r="T293" s="404"/>
    </row>
    <row r="294" spans="2:23" ht="21.6" customHeight="1" x14ac:dyDescent="0.2">
      <c r="B294" s="666"/>
      <c r="C294" s="473" t="s">
        <v>75</v>
      </c>
      <c r="D294" s="473"/>
      <c r="E294" s="473"/>
      <c r="F294" s="667">
        <v>1</v>
      </c>
      <c r="G294" s="667"/>
      <c r="H294" s="667">
        <v>1</v>
      </c>
      <c r="I294" s="667"/>
      <c r="J294" s="668">
        <f>F294-H294</f>
        <v>0</v>
      </c>
      <c r="K294" s="668"/>
      <c r="L294" s="668"/>
      <c r="M294" s="430"/>
      <c r="N294" s="431"/>
      <c r="O294" s="431"/>
      <c r="P294" s="431"/>
      <c r="Q294" s="431"/>
      <c r="R294" s="431"/>
      <c r="S294" s="431"/>
      <c r="T294" s="432"/>
    </row>
    <row r="295" spans="2:23" ht="24" customHeight="1" x14ac:dyDescent="0.2">
      <c r="B295" s="666"/>
      <c r="C295" s="395" t="s">
        <v>82</v>
      </c>
      <c r="D295" s="395"/>
      <c r="E295" s="395"/>
      <c r="F295" s="395"/>
      <c r="G295" s="395" t="s">
        <v>45</v>
      </c>
      <c r="H295" s="395"/>
      <c r="I295" s="395"/>
      <c r="J295" s="395"/>
      <c r="K295" s="444" t="s">
        <v>559</v>
      </c>
      <c r="L295" s="445"/>
      <c r="M295" s="445"/>
      <c r="N295" s="445"/>
      <c r="O295" s="445"/>
      <c r="P295" s="445"/>
      <c r="Q295" s="445"/>
      <c r="R295" s="445"/>
      <c r="S295" s="445"/>
      <c r="T295" s="446"/>
    </row>
    <row r="296" spans="2:23" ht="24.4" customHeight="1" x14ac:dyDescent="0.2">
      <c r="B296" s="666"/>
      <c r="C296" s="395" t="s">
        <v>84</v>
      </c>
      <c r="D296" s="395"/>
      <c r="E296" s="395" t="s">
        <v>350</v>
      </c>
      <c r="F296" s="395"/>
      <c r="G296" s="395"/>
      <c r="H296" s="395"/>
      <c r="I296" s="395"/>
      <c r="J296" s="395"/>
      <c r="K296" s="447"/>
      <c r="L296" s="448"/>
      <c r="M296" s="448"/>
      <c r="N296" s="448"/>
      <c r="O296" s="448"/>
      <c r="P296" s="448"/>
      <c r="Q296" s="448"/>
      <c r="R296" s="448"/>
      <c r="S296" s="448"/>
      <c r="T296" s="449"/>
    </row>
    <row r="297" spans="2:23" ht="27.75" customHeight="1" x14ac:dyDescent="0.2">
      <c r="B297" s="365"/>
      <c r="C297" s="534"/>
      <c r="D297" s="534"/>
      <c r="E297" s="534"/>
      <c r="F297" s="534"/>
      <c r="G297" s="534"/>
      <c r="H297" s="534"/>
      <c r="I297" s="534"/>
      <c r="J297" s="534"/>
      <c r="K297" s="534"/>
      <c r="L297" s="534"/>
      <c r="M297" s="534"/>
      <c r="N297" s="534"/>
      <c r="O297" s="534"/>
      <c r="P297" s="534"/>
      <c r="Q297" s="534"/>
      <c r="R297" s="534"/>
      <c r="S297" s="534"/>
      <c r="T297" s="366"/>
    </row>
    <row r="298" spans="2:23" ht="25.9" customHeight="1" x14ac:dyDescent="0.2">
      <c r="B298" s="565" t="s">
        <v>102</v>
      </c>
      <c r="C298" s="566"/>
      <c r="D298" s="566"/>
      <c r="E298" s="566"/>
      <c r="F298" s="566"/>
      <c r="G298" s="566"/>
      <c r="H298" s="566"/>
      <c r="I298" s="566"/>
      <c r="J298" s="566"/>
      <c r="K298" s="566"/>
      <c r="L298" s="566"/>
      <c r="M298" s="566"/>
      <c r="N298" s="566"/>
      <c r="O298" s="566"/>
      <c r="P298" s="566"/>
      <c r="Q298" s="566"/>
      <c r="R298" s="566"/>
      <c r="S298" s="566"/>
      <c r="T298" s="567"/>
    </row>
    <row r="299" spans="2:23" ht="23.45" customHeight="1" x14ac:dyDescent="0.2">
      <c r="B299" s="568" t="s">
        <v>47</v>
      </c>
      <c r="C299" s="569"/>
      <c r="D299" s="569"/>
      <c r="E299" s="569"/>
      <c r="F299" s="570"/>
      <c r="G299" s="533" t="s">
        <v>103</v>
      </c>
      <c r="H299" s="533"/>
      <c r="I299" s="533"/>
      <c r="J299" s="533"/>
      <c r="K299" s="533"/>
      <c r="L299" s="533"/>
      <c r="M299" s="533"/>
      <c r="N299" s="533"/>
      <c r="O299" s="533"/>
      <c r="P299" s="533"/>
      <c r="Q299" s="533"/>
      <c r="R299" s="533"/>
      <c r="S299" s="568" t="s">
        <v>104</v>
      </c>
      <c r="T299" s="570"/>
    </row>
    <row r="300" spans="2:23" ht="206.45" hidden="1" customHeight="1" x14ac:dyDescent="0.2">
      <c r="B300" s="364" t="s">
        <v>341</v>
      </c>
      <c r="C300" s="364"/>
      <c r="D300" s="364"/>
      <c r="E300" s="364"/>
      <c r="F300" s="364"/>
      <c r="G300" s="664"/>
      <c r="H300" s="664"/>
      <c r="I300" s="664"/>
      <c r="J300" s="664"/>
      <c r="K300" s="664"/>
      <c r="L300" s="664"/>
      <c r="M300" s="664"/>
      <c r="N300" s="664"/>
      <c r="O300" s="664"/>
      <c r="P300" s="664"/>
      <c r="Q300" s="664"/>
      <c r="R300" s="664"/>
      <c r="S300" s="441" t="s">
        <v>520</v>
      </c>
      <c r="T300" s="443"/>
      <c r="V300" s="564"/>
      <c r="W300" s="564"/>
    </row>
    <row r="301" spans="2:23" ht="151.9" customHeight="1" x14ac:dyDescent="0.2">
      <c r="B301" s="364" t="s">
        <v>827</v>
      </c>
      <c r="C301" s="364"/>
      <c r="D301" s="364"/>
      <c r="E301" s="364"/>
      <c r="F301" s="364"/>
      <c r="G301" s="473" t="s">
        <v>1238</v>
      </c>
      <c r="H301" s="473"/>
      <c r="I301" s="473"/>
      <c r="J301" s="473"/>
      <c r="K301" s="473"/>
      <c r="L301" s="473"/>
      <c r="M301" s="473"/>
      <c r="N301" s="473"/>
      <c r="O301" s="473"/>
      <c r="P301" s="473"/>
      <c r="Q301" s="473"/>
      <c r="R301" s="473"/>
      <c r="S301" s="441" t="s">
        <v>520</v>
      </c>
      <c r="T301" s="443"/>
      <c r="U301" s="283"/>
    </row>
    <row r="302" spans="2:23" ht="133.15" customHeight="1" x14ac:dyDescent="0.2">
      <c r="B302" s="364" t="s">
        <v>828</v>
      </c>
      <c r="C302" s="364"/>
      <c r="D302" s="364"/>
      <c r="E302" s="364"/>
      <c r="F302" s="364"/>
      <c r="G302" s="575" t="s">
        <v>1239</v>
      </c>
      <c r="H302" s="576"/>
      <c r="I302" s="576"/>
      <c r="J302" s="576"/>
      <c r="K302" s="576"/>
      <c r="L302" s="576"/>
      <c r="M302" s="576"/>
      <c r="N302" s="576"/>
      <c r="O302" s="576"/>
      <c r="P302" s="576"/>
      <c r="Q302" s="576"/>
      <c r="R302" s="577"/>
      <c r="S302" s="441" t="s">
        <v>469</v>
      </c>
      <c r="T302" s="443"/>
      <c r="U302" s="283"/>
    </row>
    <row r="303" spans="2:23" ht="36.6" customHeight="1" x14ac:dyDescent="0.2">
      <c r="B303" s="364" t="s">
        <v>521</v>
      </c>
      <c r="C303" s="364"/>
      <c r="D303" s="364"/>
      <c r="E303" s="364"/>
      <c r="F303" s="364"/>
      <c r="G303" s="575" t="s">
        <v>1152</v>
      </c>
      <c r="H303" s="576"/>
      <c r="I303" s="576"/>
      <c r="J303" s="576"/>
      <c r="K303" s="576"/>
      <c r="L303" s="576"/>
      <c r="M303" s="576"/>
      <c r="N303" s="576"/>
      <c r="O303" s="576"/>
      <c r="P303" s="576"/>
      <c r="Q303" s="576"/>
      <c r="R303" s="577"/>
      <c r="S303" s="441"/>
      <c r="T303" s="443"/>
      <c r="U303" s="283"/>
    </row>
    <row r="304" spans="2:23" ht="36" customHeight="1" x14ac:dyDescent="0.2">
      <c r="B304" s="571" t="s">
        <v>471</v>
      </c>
      <c r="C304" s="571"/>
      <c r="D304" s="571"/>
      <c r="E304" s="571"/>
      <c r="F304" s="571"/>
      <c r="G304" s="572" t="s">
        <v>1107</v>
      </c>
      <c r="H304" s="573"/>
      <c r="I304" s="573"/>
      <c r="J304" s="573"/>
      <c r="K304" s="573"/>
      <c r="L304" s="573"/>
      <c r="M304" s="573"/>
      <c r="N304" s="573"/>
      <c r="O304" s="573"/>
      <c r="P304" s="573"/>
      <c r="Q304" s="573"/>
      <c r="R304" s="574"/>
      <c r="S304" s="441"/>
      <c r="T304" s="443"/>
      <c r="U304" s="283"/>
    </row>
    <row r="305" spans="1:24" ht="26.25" customHeight="1" x14ac:dyDescent="0.2">
      <c r="B305" s="565" t="s">
        <v>482</v>
      </c>
      <c r="C305" s="566"/>
      <c r="D305" s="566"/>
      <c r="E305" s="566"/>
      <c r="F305" s="566"/>
      <c r="G305" s="566"/>
      <c r="H305" s="566"/>
      <c r="I305" s="566"/>
      <c r="J305" s="566"/>
      <c r="K305" s="566"/>
      <c r="L305" s="566"/>
      <c r="M305" s="566"/>
      <c r="N305" s="566"/>
      <c r="O305" s="566"/>
      <c r="P305" s="566"/>
      <c r="Q305" s="566"/>
      <c r="R305" s="566"/>
      <c r="S305" s="566"/>
      <c r="T305" s="567"/>
    </row>
    <row r="306" spans="1:24" ht="23.25" customHeight="1" x14ac:dyDescent="0.2">
      <c r="B306" s="622" t="s">
        <v>47</v>
      </c>
      <c r="C306" s="623"/>
      <c r="D306" s="623"/>
      <c r="E306" s="623"/>
      <c r="F306" s="624"/>
      <c r="G306" s="568" t="s">
        <v>103</v>
      </c>
      <c r="H306" s="569"/>
      <c r="I306" s="569"/>
      <c r="J306" s="569"/>
      <c r="K306" s="569"/>
      <c r="L306" s="569"/>
      <c r="M306" s="569"/>
      <c r="N306" s="569"/>
      <c r="O306" s="569"/>
      <c r="P306" s="569"/>
      <c r="Q306" s="569"/>
      <c r="R306" s="570"/>
      <c r="S306" s="568" t="s">
        <v>104</v>
      </c>
      <c r="T306" s="570"/>
    </row>
    <row r="307" spans="1:24" ht="255.6" customHeight="1" x14ac:dyDescent="0.2">
      <c r="B307" s="408" t="s">
        <v>1142</v>
      </c>
      <c r="C307" s="595"/>
      <c r="D307" s="595"/>
      <c r="E307" s="595"/>
      <c r="F307" s="409"/>
      <c r="G307" s="762" t="s">
        <v>1220</v>
      </c>
      <c r="H307" s="763"/>
      <c r="I307" s="763"/>
      <c r="J307" s="763"/>
      <c r="K307" s="763"/>
      <c r="L307" s="763"/>
      <c r="M307" s="763"/>
      <c r="N307" s="763"/>
      <c r="O307" s="763"/>
      <c r="P307" s="763"/>
      <c r="Q307" s="763"/>
      <c r="R307" s="764"/>
      <c r="S307" s="402" t="s">
        <v>960</v>
      </c>
      <c r="T307" s="404"/>
      <c r="U307" s="283"/>
    </row>
    <row r="308" spans="1:24" ht="409.6" customHeight="1" x14ac:dyDescent="0.2">
      <c r="B308" s="758" t="s">
        <v>1143</v>
      </c>
      <c r="C308" s="759"/>
      <c r="D308" s="759"/>
      <c r="E308" s="759"/>
      <c r="F308" s="760"/>
      <c r="G308" s="402" t="s">
        <v>1222</v>
      </c>
      <c r="H308" s="403"/>
      <c r="I308" s="403"/>
      <c r="J308" s="403"/>
      <c r="K308" s="403"/>
      <c r="L308" s="403"/>
      <c r="M308" s="403"/>
      <c r="N308" s="403"/>
      <c r="O308" s="403"/>
      <c r="P308" s="403"/>
      <c r="Q308" s="403"/>
      <c r="R308" s="404"/>
      <c r="S308" s="402" t="s">
        <v>907</v>
      </c>
      <c r="T308" s="404"/>
      <c r="U308" s="283"/>
    </row>
    <row r="309" spans="1:24" ht="175.9" customHeight="1" x14ac:dyDescent="0.2">
      <c r="B309" s="761"/>
      <c r="C309" s="722"/>
      <c r="D309" s="722"/>
      <c r="E309" s="722"/>
      <c r="F309" s="723"/>
      <c r="G309" s="430"/>
      <c r="H309" s="431"/>
      <c r="I309" s="431"/>
      <c r="J309" s="431"/>
      <c r="K309" s="431"/>
      <c r="L309" s="431"/>
      <c r="M309" s="431"/>
      <c r="N309" s="431"/>
      <c r="O309" s="431"/>
      <c r="P309" s="431"/>
      <c r="Q309" s="431"/>
      <c r="R309" s="432"/>
      <c r="S309" s="430"/>
      <c r="T309" s="432"/>
      <c r="U309" s="283"/>
    </row>
    <row r="310" spans="1:24" ht="178.15" customHeight="1" x14ac:dyDescent="0.2">
      <c r="B310" s="592" t="s">
        <v>1144</v>
      </c>
      <c r="C310" s="593"/>
      <c r="D310" s="593"/>
      <c r="E310" s="593"/>
      <c r="F310" s="594"/>
      <c r="G310" s="575" t="s">
        <v>1221</v>
      </c>
      <c r="H310" s="576"/>
      <c r="I310" s="576"/>
      <c r="J310" s="576"/>
      <c r="K310" s="576"/>
      <c r="L310" s="576"/>
      <c r="M310" s="576"/>
      <c r="N310" s="576"/>
      <c r="O310" s="576"/>
      <c r="P310" s="576"/>
      <c r="Q310" s="576"/>
      <c r="R310" s="577"/>
      <c r="S310" s="441" t="s">
        <v>961</v>
      </c>
      <c r="T310" s="443"/>
      <c r="U310" s="283"/>
    </row>
    <row r="311" spans="1:24" ht="94.5" customHeight="1" x14ac:dyDescent="0.2">
      <c r="B311" s="622" t="s">
        <v>501</v>
      </c>
      <c r="C311" s="623"/>
      <c r="D311" s="623"/>
      <c r="E311" s="623"/>
      <c r="F311" s="624"/>
      <c r="G311" s="568" t="s">
        <v>103</v>
      </c>
      <c r="H311" s="569"/>
      <c r="I311" s="569"/>
      <c r="J311" s="569"/>
      <c r="K311" s="569"/>
      <c r="L311" s="569"/>
      <c r="M311" s="569"/>
      <c r="N311" s="569"/>
      <c r="O311" s="569"/>
      <c r="P311" s="569"/>
      <c r="Q311" s="569"/>
      <c r="R311" s="570"/>
      <c r="S311" s="568" t="s">
        <v>104</v>
      </c>
      <c r="T311" s="570"/>
      <c r="U311" s="283"/>
    </row>
    <row r="312" spans="1:24" ht="223.9" customHeight="1" x14ac:dyDescent="0.2">
      <c r="B312" s="402"/>
      <c r="C312" s="403"/>
      <c r="D312" s="403"/>
      <c r="E312" s="403"/>
      <c r="F312" s="404"/>
      <c r="G312" s="619" t="s">
        <v>920</v>
      </c>
      <c r="H312" s="620"/>
      <c r="I312" s="620"/>
      <c r="J312" s="620"/>
      <c r="K312" s="620"/>
      <c r="L312" s="620"/>
      <c r="M312" s="620"/>
      <c r="N312" s="620"/>
      <c r="O312" s="620"/>
      <c r="P312" s="620"/>
      <c r="Q312" s="620"/>
      <c r="R312" s="621"/>
      <c r="S312" s="408"/>
      <c r="T312" s="409"/>
      <c r="U312" s="283"/>
      <c r="W312" s="584"/>
      <c r="X312" s="584"/>
    </row>
    <row r="313" spans="1:24" ht="331.15" customHeight="1" x14ac:dyDescent="0.2">
      <c r="B313" s="405"/>
      <c r="C313" s="406"/>
      <c r="D313" s="406"/>
      <c r="E313" s="406"/>
      <c r="F313" s="407"/>
      <c r="G313" s="585" t="s">
        <v>921</v>
      </c>
      <c r="H313" s="586"/>
      <c r="I313" s="586"/>
      <c r="J313" s="586"/>
      <c r="K313" s="586"/>
      <c r="L313" s="586"/>
      <c r="M313" s="586"/>
      <c r="N313" s="586"/>
      <c r="O313" s="586"/>
      <c r="P313" s="586"/>
      <c r="Q313" s="586"/>
      <c r="R313" s="587"/>
      <c r="S313" s="410"/>
      <c r="T313" s="411"/>
      <c r="U313" s="283"/>
      <c r="W313" s="584"/>
      <c r="X313" s="584"/>
    </row>
    <row r="314" spans="1:24" ht="244.15" customHeight="1" x14ac:dyDescent="0.2">
      <c r="A314" s="53"/>
      <c r="B314" s="405"/>
      <c r="C314" s="406"/>
      <c r="D314" s="406"/>
      <c r="E314" s="406"/>
      <c r="F314" s="407"/>
      <c r="G314" s="581" t="s">
        <v>922</v>
      </c>
      <c r="H314" s="582"/>
      <c r="I314" s="582"/>
      <c r="J314" s="582"/>
      <c r="K314" s="582"/>
      <c r="L314" s="582"/>
      <c r="M314" s="582"/>
      <c r="N314" s="582"/>
      <c r="O314" s="582"/>
      <c r="P314" s="582"/>
      <c r="Q314" s="582"/>
      <c r="R314" s="582"/>
      <c r="S314" s="410"/>
      <c r="T314" s="411"/>
      <c r="U314" s="283"/>
      <c r="W314" s="584"/>
      <c r="X314" s="584"/>
    </row>
    <row r="315" spans="1:24" ht="259.89999999999998" customHeight="1" x14ac:dyDescent="0.2">
      <c r="B315" s="405"/>
      <c r="C315" s="406"/>
      <c r="D315" s="406"/>
      <c r="E315" s="406"/>
      <c r="F315" s="407"/>
      <c r="G315" s="581" t="s">
        <v>923</v>
      </c>
      <c r="H315" s="582"/>
      <c r="I315" s="582"/>
      <c r="J315" s="582"/>
      <c r="K315" s="582"/>
      <c r="L315" s="582"/>
      <c r="M315" s="582"/>
      <c r="N315" s="582"/>
      <c r="O315" s="582"/>
      <c r="P315" s="582"/>
      <c r="Q315" s="582"/>
      <c r="R315" s="582"/>
      <c r="S315" s="410"/>
      <c r="T315" s="411"/>
      <c r="U315" s="283"/>
      <c r="W315" s="584"/>
      <c r="X315" s="584"/>
    </row>
    <row r="316" spans="1:24" ht="255" customHeight="1" x14ac:dyDescent="0.2">
      <c r="B316" s="405"/>
      <c r="C316" s="406"/>
      <c r="D316" s="406"/>
      <c r="E316" s="406"/>
      <c r="F316" s="407"/>
      <c r="G316" s="588" t="s">
        <v>924</v>
      </c>
      <c r="H316" s="589"/>
      <c r="I316" s="589"/>
      <c r="J316" s="589"/>
      <c r="K316" s="589"/>
      <c r="L316" s="589"/>
      <c r="M316" s="589"/>
      <c r="N316" s="589"/>
      <c r="O316" s="589"/>
      <c r="P316" s="589"/>
      <c r="Q316" s="589"/>
      <c r="R316" s="589"/>
      <c r="S316" s="410"/>
      <c r="T316" s="411"/>
      <c r="U316" s="283"/>
      <c r="W316" s="584"/>
      <c r="X316" s="584"/>
    </row>
    <row r="317" spans="1:24" ht="232.15" customHeight="1" x14ac:dyDescent="0.2">
      <c r="B317" s="405"/>
      <c r="C317" s="406"/>
      <c r="D317" s="406"/>
      <c r="E317" s="406"/>
      <c r="F317" s="407"/>
      <c r="G317" s="581" t="s">
        <v>925</v>
      </c>
      <c r="H317" s="582"/>
      <c r="I317" s="582"/>
      <c r="J317" s="582"/>
      <c r="K317" s="582"/>
      <c r="L317" s="582"/>
      <c r="M317" s="582"/>
      <c r="N317" s="582"/>
      <c r="O317" s="582"/>
      <c r="P317" s="582"/>
      <c r="Q317" s="582"/>
      <c r="R317" s="582"/>
      <c r="S317" s="410"/>
      <c r="T317" s="411"/>
      <c r="U317" s="283"/>
      <c r="W317" s="584"/>
      <c r="X317" s="584"/>
    </row>
    <row r="318" spans="1:24" ht="208.9" customHeight="1" x14ac:dyDescent="0.2">
      <c r="B318" s="405"/>
      <c r="C318" s="406"/>
      <c r="D318" s="406"/>
      <c r="E318" s="406"/>
      <c r="F318" s="407"/>
      <c r="G318" s="588" t="s">
        <v>926</v>
      </c>
      <c r="H318" s="589"/>
      <c r="I318" s="589"/>
      <c r="J318" s="589"/>
      <c r="K318" s="589"/>
      <c r="L318" s="589"/>
      <c r="M318" s="589"/>
      <c r="N318" s="589"/>
      <c r="O318" s="589"/>
      <c r="P318" s="589"/>
      <c r="Q318" s="589"/>
      <c r="R318" s="589"/>
      <c r="S318" s="410"/>
      <c r="T318" s="411"/>
      <c r="U318" s="283"/>
      <c r="W318" s="584"/>
      <c r="X318" s="584"/>
    </row>
    <row r="319" spans="1:24" ht="210.6" customHeight="1" x14ac:dyDescent="0.2">
      <c r="B319" s="405"/>
      <c r="C319" s="406"/>
      <c r="D319" s="406"/>
      <c r="E319" s="406"/>
      <c r="F319" s="407"/>
      <c r="G319" s="581" t="s">
        <v>927</v>
      </c>
      <c r="H319" s="582"/>
      <c r="I319" s="582"/>
      <c r="J319" s="582"/>
      <c r="K319" s="582"/>
      <c r="L319" s="582"/>
      <c r="M319" s="582"/>
      <c r="N319" s="582"/>
      <c r="O319" s="582"/>
      <c r="P319" s="582"/>
      <c r="Q319" s="582"/>
      <c r="R319" s="583"/>
      <c r="S319" s="410"/>
      <c r="T319" s="411"/>
      <c r="U319" s="283"/>
      <c r="W319" s="584"/>
      <c r="X319" s="584"/>
    </row>
    <row r="320" spans="1:24" ht="152.44999999999999" customHeight="1" x14ac:dyDescent="0.2">
      <c r="B320" s="405"/>
      <c r="C320" s="406"/>
      <c r="D320" s="406"/>
      <c r="E320" s="406"/>
      <c r="F320" s="407"/>
      <c r="G320" s="581" t="s">
        <v>928</v>
      </c>
      <c r="H320" s="582"/>
      <c r="I320" s="582"/>
      <c r="J320" s="582"/>
      <c r="K320" s="582"/>
      <c r="L320" s="582"/>
      <c r="M320" s="582"/>
      <c r="N320" s="582"/>
      <c r="O320" s="582"/>
      <c r="P320" s="582"/>
      <c r="Q320" s="582"/>
      <c r="R320" s="583"/>
      <c r="S320" s="410"/>
      <c r="T320" s="411"/>
      <c r="U320" s="283"/>
      <c r="W320" s="584"/>
      <c r="X320" s="584"/>
    </row>
    <row r="321" spans="2:24" ht="275.45" customHeight="1" x14ac:dyDescent="0.2">
      <c r="B321" s="405"/>
      <c r="C321" s="406"/>
      <c r="D321" s="406"/>
      <c r="E321" s="406"/>
      <c r="F321" s="407"/>
      <c r="G321" s="581" t="s">
        <v>1244</v>
      </c>
      <c r="H321" s="590"/>
      <c r="I321" s="590"/>
      <c r="J321" s="590"/>
      <c r="K321" s="590"/>
      <c r="L321" s="590"/>
      <c r="M321" s="590"/>
      <c r="N321" s="590"/>
      <c r="O321" s="590"/>
      <c r="P321" s="590"/>
      <c r="Q321" s="590"/>
      <c r="R321" s="591"/>
      <c r="S321" s="410"/>
      <c r="T321" s="411"/>
      <c r="U321" s="283"/>
      <c r="W321" s="584"/>
      <c r="X321" s="584"/>
    </row>
    <row r="322" spans="2:24" ht="372.6" customHeight="1" x14ac:dyDescent="0.2">
      <c r="B322" s="405"/>
      <c r="C322" s="406"/>
      <c r="D322" s="406"/>
      <c r="E322" s="406"/>
      <c r="F322" s="407"/>
      <c r="G322" s="581" t="s">
        <v>1131</v>
      </c>
      <c r="H322" s="582"/>
      <c r="I322" s="582"/>
      <c r="J322" s="582"/>
      <c r="K322" s="582"/>
      <c r="L322" s="582"/>
      <c r="M322" s="582"/>
      <c r="N322" s="582"/>
      <c r="O322" s="582"/>
      <c r="P322" s="582"/>
      <c r="Q322" s="582"/>
      <c r="R322" s="582"/>
      <c r="S322" s="410"/>
      <c r="T322" s="411"/>
      <c r="U322" s="283"/>
      <c r="W322" s="584"/>
      <c r="X322" s="584"/>
    </row>
    <row r="323" spans="2:24" ht="408.6" customHeight="1" x14ac:dyDescent="0.2">
      <c r="B323" s="405"/>
      <c r="C323" s="406"/>
      <c r="D323" s="406"/>
      <c r="E323" s="406"/>
      <c r="F323" s="407"/>
      <c r="G323" s="596" t="s">
        <v>929</v>
      </c>
      <c r="H323" s="597"/>
      <c r="I323" s="597"/>
      <c r="J323" s="597"/>
      <c r="K323" s="597"/>
      <c r="L323" s="597"/>
      <c r="M323" s="597"/>
      <c r="N323" s="597"/>
      <c r="O323" s="597"/>
      <c r="P323" s="597"/>
      <c r="Q323" s="597"/>
      <c r="R323" s="598"/>
      <c r="S323" s="410"/>
      <c r="T323" s="411"/>
      <c r="U323" s="283"/>
      <c r="W323" s="584"/>
      <c r="X323" s="584"/>
    </row>
    <row r="324" spans="2:24" ht="96" customHeight="1" x14ac:dyDescent="0.2">
      <c r="B324" s="405"/>
      <c r="C324" s="406"/>
      <c r="D324" s="406"/>
      <c r="E324" s="406"/>
      <c r="F324" s="407"/>
      <c r="G324" s="599"/>
      <c r="H324" s="600"/>
      <c r="I324" s="600"/>
      <c r="J324" s="600"/>
      <c r="K324" s="600"/>
      <c r="L324" s="600"/>
      <c r="M324" s="600"/>
      <c r="N324" s="600"/>
      <c r="O324" s="600"/>
      <c r="P324" s="600"/>
      <c r="Q324" s="600"/>
      <c r="R324" s="601"/>
      <c r="S324" s="410"/>
      <c r="T324" s="411"/>
      <c r="U324" s="283"/>
      <c r="W324" s="584"/>
      <c r="X324" s="584"/>
    </row>
    <row r="325" spans="2:24" ht="217.9" customHeight="1" x14ac:dyDescent="0.2">
      <c r="B325" s="405"/>
      <c r="C325" s="406"/>
      <c r="D325" s="406"/>
      <c r="E325" s="406"/>
      <c r="F325" s="407"/>
      <c r="G325" s="581" t="s">
        <v>1132</v>
      </c>
      <c r="H325" s="582"/>
      <c r="I325" s="582"/>
      <c r="J325" s="582"/>
      <c r="K325" s="582"/>
      <c r="L325" s="582"/>
      <c r="M325" s="582"/>
      <c r="N325" s="582"/>
      <c r="O325" s="582"/>
      <c r="P325" s="582"/>
      <c r="Q325" s="582"/>
      <c r="R325" s="582"/>
      <c r="S325" s="410"/>
      <c r="T325" s="411"/>
      <c r="U325" s="283"/>
      <c r="W325" s="584"/>
      <c r="X325" s="584"/>
    </row>
    <row r="326" spans="2:24" ht="347.45" customHeight="1" x14ac:dyDescent="0.2">
      <c r="B326" s="405"/>
      <c r="C326" s="406"/>
      <c r="D326" s="406"/>
      <c r="E326" s="406"/>
      <c r="F326" s="407"/>
      <c r="G326" s="581" t="s">
        <v>1245</v>
      </c>
      <c r="H326" s="582"/>
      <c r="I326" s="582"/>
      <c r="J326" s="582"/>
      <c r="K326" s="582"/>
      <c r="L326" s="582"/>
      <c r="M326" s="582"/>
      <c r="N326" s="582"/>
      <c r="O326" s="582"/>
      <c r="P326" s="582"/>
      <c r="Q326" s="582"/>
      <c r="R326" s="583"/>
      <c r="S326" s="410"/>
      <c r="T326" s="411"/>
      <c r="U326" s="283"/>
      <c r="W326" s="584"/>
      <c r="X326" s="584"/>
    </row>
    <row r="327" spans="2:24" ht="409.15" customHeight="1" x14ac:dyDescent="0.2">
      <c r="B327" s="405"/>
      <c r="C327" s="406"/>
      <c r="D327" s="406"/>
      <c r="E327" s="406"/>
      <c r="F327" s="407"/>
      <c r="G327" s="596" t="s">
        <v>1246</v>
      </c>
      <c r="H327" s="597"/>
      <c r="I327" s="597"/>
      <c r="J327" s="597"/>
      <c r="K327" s="597"/>
      <c r="L327" s="597"/>
      <c r="M327" s="597"/>
      <c r="N327" s="597"/>
      <c r="O327" s="597"/>
      <c r="P327" s="597"/>
      <c r="Q327" s="597"/>
      <c r="R327" s="598"/>
      <c r="S327" s="410"/>
      <c r="T327" s="411"/>
      <c r="U327" s="283"/>
      <c r="W327" s="584"/>
      <c r="X327" s="584"/>
    </row>
    <row r="328" spans="2:24" ht="29.45" customHeight="1" x14ac:dyDescent="0.2">
      <c r="B328" s="405"/>
      <c r="C328" s="406"/>
      <c r="D328" s="406"/>
      <c r="E328" s="406"/>
      <c r="F328" s="407"/>
      <c r="G328" s="599"/>
      <c r="H328" s="600"/>
      <c r="I328" s="600"/>
      <c r="J328" s="600"/>
      <c r="K328" s="600"/>
      <c r="L328" s="600"/>
      <c r="M328" s="600"/>
      <c r="N328" s="600"/>
      <c r="O328" s="600"/>
      <c r="P328" s="600"/>
      <c r="Q328" s="600"/>
      <c r="R328" s="601"/>
      <c r="S328" s="410"/>
      <c r="T328" s="411"/>
      <c r="U328" s="283"/>
      <c r="W328" s="584"/>
      <c r="X328" s="584"/>
    </row>
    <row r="329" spans="2:24" ht="408.6" customHeight="1" x14ac:dyDescent="0.2">
      <c r="B329" s="405"/>
      <c r="C329" s="406"/>
      <c r="D329" s="406"/>
      <c r="E329" s="406"/>
      <c r="F329" s="407"/>
      <c r="G329" s="596" t="s">
        <v>930</v>
      </c>
      <c r="H329" s="597"/>
      <c r="I329" s="597"/>
      <c r="J329" s="597"/>
      <c r="K329" s="597"/>
      <c r="L329" s="597"/>
      <c r="M329" s="597"/>
      <c r="N329" s="597"/>
      <c r="O329" s="597"/>
      <c r="P329" s="597"/>
      <c r="Q329" s="597"/>
      <c r="R329" s="598"/>
      <c r="S329" s="410"/>
      <c r="T329" s="411"/>
      <c r="U329" s="283"/>
      <c r="W329" s="584"/>
      <c r="X329" s="584"/>
    </row>
    <row r="330" spans="2:24" ht="127.9" customHeight="1" x14ac:dyDescent="0.2">
      <c r="B330" s="405"/>
      <c r="C330" s="406"/>
      <c r="D330" s="406"/>
      <c r="E330" s="406"/>
      <c r="F330" s="407"/>
      <c r="G330" s="599"/>
      <c r="H330" s="600"/>
      <c r="I330" s="600"/>
      <c r="J330" s="600"/>
      <c r="K330" s="600"/>
      <c r="L330" s="600"/>
      <c r="M330" s="600"/>
      <c r="N330" s="600"/>
      <c r="O330" s="600"/>
      <c r="P330" s="600"/>
      <c r="Q330" s="600"/>
      <c r="R330" s="601"/>
      <c r="S330" s="410"/>
      <c r="T330" s="411"/>
      <c r="U330" s="283"/>
      <c r="W330" s="584"/>
      <c r="X330" s="584"/>
    </row>
    <row r="331" spans="2:24" ht="363.6" customHeight="1" x14ac:dyDescent="0.2">
      <c r="B331" s="405"/>
      <c r="C331" s="406"/>
      <c r="D331" s="406"/>
      <c r="E331" s="406"/>
      <c r="F331" s="407"/>
      <c r="G331" s="578" t="s">
        <v>931</v>
      </c>
      <c r="H331" s="579"/>
      <c r="I331" s="579"/>
      <c r="J331" s="579"/>
      <c r="K331" s="579"/>
      <c r="L331" s="579"/>
      <c r="M331" s="579"/>
      <c r="N331" s="579"/>
      <c r="O331" s="579"/>
      <c r="P331" s="579"/>
      <c r="Q331" s="579"/>
      <c r="R331" s="580"/>
      <c r="S331" s="410"/>
      <c r="T331" s="411"/>
      <c r="U331" s="283"/>
      <c r="W331" s="584"/>
      <c r="X331" s="584"/>
    </row>
    <row r="332" spans="2:24" ht="201" customHeight="1" x14ac:dyDescent="0.2">
      <c r="B332" s="405"/>
      <c r="C332" s="406"/>
      <c r="D332" s="406"/>
      <c r="E332" s="406"/>
      <c r="F332" s="407"/>
      <c r="G332" s="581" t="s">
        <v>932</v>
      </c>
      <c r="H332" s="582"/>
      <c r="I332" s="582"/>
      <c r="J332" s="582"/>
      <c r="K332" s="582"/>
      <c r="L332" s="582"/>
      <c r="M332" s="582"/>
      <c r="N332" s="582"/>
      <c r="O332" s="582"/>
      <c r="P332" s="582"/>
      <c r="Q332" s="582"/>
      <c r="R332" s="582"/>
      <c r="S332" s="410"/>
      <c r="T332" s="411"/>
      <c r="U332" s="283"/>
      <c r="W332" s="584"/>
      <c r="X332" s="584"/>
    </row>
    <row r="333" spans="2:24" ht="201" customHeight="1" x14ac:dyDescent="0.2">
      <c r="B333" s="405"/>
      <c r="C333" s="406"/>
      <c r="D333" s="406"/>
      <c r="E333" s="406"/>
      <c r="F333" s="407"/>
      <c r="G333" s="530" t="s">
        <v>766</v>
      </c>
      <c r="H333" s="531"/>
      <c r="I333" s="531"/>
      <c r="J333" s="531"/>
      <c r="K333" s="531"/>
      <c r="L333" s="531"/>
      <c r="M333" s="531"/>
      <c r="N333" s="531"/>
      <c r="O333" s="531"/>
      <c r="P333" s="531"/>
      <c r="Q333" s="531"/>
      <c r="R333" s="531"/>
      <c r="S333" s="410"/>
      <c r="T333" s="411"/>
      <c r="U333" s="283"/>
      <c r="W333" s="584"/>
      <c r="X333" s="584"/>
    </row>
    <row r="334" spans="2:24" ht="297.60000000000002" customHeight="1" x14ac:dyDescent="0.2">
      <c r="B334" s="405"/>
      <c r="C334" s="406"/>
      <c r="D334" s="406"/>
      <c r="E334" s="406"/>
      <c r="F334" s="407"/>
      <c r="G334" s="581" t="s">
        <v>933</v>
      </c>
      <c r="H334" s="590"/>
      <c r="I334" s="590"/>
      <c r="J334" s="590"/>
      <c r="K334" s="590"/>
      <c r="L334" s="590"/>
      <c r="M334" s="590"/>
      <c r="N334" s="590"/>
      <c r="O334" s="590"/>
      <c r="P334" s="590"/>
      <c r="Q334" s="590"/>
      <c r="R334" s="591"/>
      <c r="S334" s="410"/>
      <c r="T334" s="411"/>
      <c r="U334" s="283"/>
      <c r="W334" s="584"/>
      <c r="X334" s="584"/>
    </row>
    <row r="335" spans="2:24" ht="292.89999999999998" customHeight="1" x14ac:dyDescent="0.2">
      <c r="B335" s="405"/>
      <c r="C335" s="406"/>
      <c r="D335" s="406"/>
      <c r="E335" s="406"/>
      <c r="F335" s="407"/>
      <c r="G335" s="581" t="s">
        <v>1137</v>
      </c>
      <c r="H335" s="590"/>
      <c r="I335" s="590"/>
      <c r="J335" s="590"/>
      <c r="K335" s="590"/>
      <c r="L335" s="590"/>
      <c r="M335" s="590"/>
      <c r="N335" s="590"/>
      <c r="O335" s="590"/>
      <c r="P335" s="590"/>
      <c r="Q335" s="590"/>
      <c r="R335" s="591"/>
      <c r="S335" s="410"/>
      <c r="T335" s="411"/>
      <c r="U335" s="283"/>
      <c r="W335" s="584"/>
      <c r="X335" s="584"/>
    </row>
    <row r="336" spans="2:24" ht="408.6" customHeight="1" x14ac:dyDescent="0.2">
      <c r="B336" s="405"/>
      <c r="C336" s="406"/>
      <c r="D336" s="406"/>
      <c r="E336" s="406"/>
      <c r="F336" s="407"/>
      <c r="G336" s="596" t="s">
        <v>1251</v>
      </c>
      <c r="H336" s="597"/>
      <c r="I336" s="597"/>
      <c r="J336" s="597"/>
      <c r="K336" s="597"/>
      <c r="L336" s="597"/>
      <c r="M336" s="597"/>
      <c r="N336" s="597"/>
      <c r="O336" s="597"/>
      <c r="P336" s="597"/>
      <c r="Q336" s="597"/>
      <c r="R336" s="598"/>
      <c r="S336" s="410"/>
      <c r="T336" s="411"/>
      <c r="U336" s="283"/>
      <c r="W336" s="584"/>
      <c r="X336" s="584"/>
    </row>
    <row r="337" spans="2:24" ht="130.15" customHeight="1" x14ac:dyDescent="0.2">
      <c r="B337" s="405"/>
      <c r="C337" s="406"/>
      <c r="D337" s="406"/>
      <c r="E337" s="406"/>
      <c r="F337" s="407"/>
      <c r="G337" s="599"/>
      <c r="H337" s="600"/>
      <c r="I337" s="600"/>
      <c r="J337" s="600"/>
      <c r="K337" s="600"/>
      <c r="L337" s="600"/>
      <c r="M337" s="600"/>
      <c r="N337" s="600"/>
      <c r="O337" s="600"/>
      <c r="P337" s="600"/>
      <c r="Q337" s="600"/>
      <c r="R337" s="601"/>
      <c r="S337" s="410"/>
      <c r="T337" s="411"/>
      <c r="U337" s="283"/>
      <c r="W337" s="584"/>
      <c r="X337" s="584"/>
    </row>
    <row r="338" spans="2:24" ht="205.9" customHeight="1" x14ac:dyDescent="0.2">
      <c r="B338" s="405"/>
      <c r="C338" s="406"/>
      <c r="D338" s="406"/>
      <c r="E338" s="406"/>
      <c r="F338" s="407"/>
      <c r="G338" s="581" t="s">
        <v>934</v>
      </c>
      <c r="H338" s="582"/>
      <c r="I338" s="582"/>
      <c r="J338" s="582"/>
      <c r="K338" s="582"/>
      <c r="L338" s="582"/>
      <c r="M338" s="582"/>
      <c r="N338" s="582"/>
      <c r="O338" s="582"/>
      <c r="P338" s="582"/>
      <c r="Q338" s="582"/>
      <c r="R338" s="583"/>
      <c r="S338" s="410"/>
      <c r="T338" s="411"/>
      <c r="U338" s="283"/>
      <c r="W338" s="584"/>
      <c r="X338" s="584"/>
    </row>
    <row r="339" spans="2:24" ht="355.15" customHeight="1" x14ac:dyDescent="0.2">
      <c r="B339" s="405"/>
      <c r="C339" s="406"/>
      <c r="D339" s="406"/>
      <c r="E339" s="406"/>
      <c r="F339" s="407"/>
      <c r="G339" s="581" t="s">
        <v>1252</v>
      </c>
      <c r="H339" s="582"/>
      <c r="I339" s="582"/>
      <c r="J339" s="582"/>
      <c r="K339" s="582"/>
      <c r="L339" s="582"/>
      <c r="M339" s="582"/>
      <c r="N339" s="582"/>
      <c r="O339" s="582"/>
      <c r="P339" s="582"/>
      <c r="Q339" s="582"/>
      <c r="R339" s="583"/>
      <c r="S339" s="410"/>
      <c r="T339" s="411"/>
      <c r="U339" s="283"/>
      <c r="W339" s="584"/>
      <c r="X339" s="584"/>
    </row>
    <row r="340" spans="2:24" ht="146.44999999999999" customHeight="1" x14ac:dyDescent="0.2">
      <c r="B340" s="405"/>
      <c r="C340" s="406"/>
      <c r="D340" s="406"/>
      <c r="E340" s="406"/>
      <c r="F340" s="407"/>
      <c r="G340" s="578" t="s">
        <v>1040</v>
      </c>
      <c r="H340" s="590"/>
      <c r="I340" s="590"/>
      <c r="J340" s="590"/>
      <c r="K340" s="590"/>
      <c r="L340" s="590"/>
      <c r="M340" s="590"/>
      <c r="N340" s="590"/>
      <c r="O340" s="590"/>
      <c r="P340" s="590"/>
      <c r="Q340" s="590"/>
      <c r="R340" s="591"/>
      <c r="S340" s="410"/>
      <c r="T340" s="411"/>
      <c r="U340" s="283"/>
      <c r="W340" s="584"/>
      <c r="X340" s="584"/>
    </row>
    <row r="341" spans="2:24" ht="189.6" customHeight="1" x14ac:dyDescent="0.2">
      <c r="B341" s="405"/>
      <c r="C341" s="406"/>
      <c r="D341" s="406"/>
      <c r="E341" s="406"/>
      <c r="F341" s="407"/>
      <c r="G341" s="578" t="s">
        <v>1253</v>
      </c>
      <c r="H341" s="590"/>
      <c r="I341" s="590"/>
      <c r="J341" s="590"/>
      <c r="K341" s="590"/>
      <c r="L341" s="590"/>
      <c r="M341" s="590"/>
      <c r="N341" s="590"/>
      <c r="O341" s="590"/>
      <c r="P341" s="590"/>
      <c r="Q341" s="590"/>
      <c r="R341" s="591"/>
      <c r="S341" s="410"/>
      <c r="T341" s="411"/>
      <c r="U341" s="283"/>
      <c r="W341" s="584"/>
      <c r="X341" s="584"/>
    </row>
    <row r="342" spans="2:24" ht="148.15" customHeight="1" x14ac:dyDescent="0.2">
      <c r="B342" s="405"/>
      <c r="C342" s="406"/>
      <c r="D342" s="406"/>
      <c r="E342" s="406"/>
      <c r="F342" s="407"/>
      <c r="G342" s="578" t="s">
        <v>1254</v>
      </c>
      <c r="H342" s="590"/>
      <c r="I342" s="590"/>
      <c r="J342" s="590"/>
      <c r="K342" s="590"/>
      <c r="L342" s="590"/>
      <c r="M342" s="590"/>
      <c r="N342" s="590"/>
      <c r="O342" s="590"/>
      <c r="P342" s="590"/>
      <c r="Q342" s="590"/>
      <c r="R342" s="591"/>
      <c r="S342" s="410"/>
      <c r="T342" s="411"/>
      <c r="U342" s="283"/>
      <c r="W342" s="584"/>
      <c r="X342" s="584"/>
    </row>
    <row r="343" spans="2:24" ht="129.6" customHeight="1" x14ac:dyDescent="0.2">
      <c r="B343" s="405"/>
      <c r="C343" s="406"/>
      <c r="D343" s="406"/>
      <c r="E343" s="406"/>
      <c r="F343" s="407"/>
      <c r="G343" s="578" t="s">
        <v>1255</v>
      </c>
      <c r="H343" s="590"/>
      <c r="I343" s="590"/>
      <c r="J343" s="590"/>
      <c r="K343" s="590"/>
      <c r="L343" s="590"/>
      <c r="M343" s="590"/>
      <c r="N343" s="590"/>
      <c r="O343" s="590"/>
      <c r="P343" s="590"/>
      <c r="Q343" s="590"/>
      <c r="R343" s="591"/>
      <c r="S343" s="410"/>
      <c r="T343" s="411"/>
      <c r="U343" s="283"/>
      <c r="W343" s="584"/>
      <c r="X343" s="584"/>
    </row>
    <row r="344" spans="2:24" ht="155.44999999999999" customHeight="1" x14ac:dyDescent="0.2">
      <c r="B344" s="405"/>
      <c r="C344" s="406"/>
      <c r="D344" s="406"/>
      <c r="E344" s="406"/>
      <c r="F344" s="407"/>
      <c r="G344" s="578" t="s">
        <v>1256</v>
      </c>
      <c r="H344" s="590"/>
      <c r="I344" s="590"/>
      <c r="J344" s="590"/>
      <c r="K344" s="590"/>
      <c r="L344" s="590"/>
      <c r="M344" s="590"/>
      <c r="N344" s="590"/>
      <c r="O344" s="590"/>
      <c r="P344" s="590"/>
      <c r="Q344" s="590"/>
      <c r="R344" s="591"/>
      <c r="S344" s="410"/>
      <c r="T344" s="411"/>
      <c r="U344" s="283"/>
      <c r="W344" s="584"/>
      <c r="X344" s="584"/>
    </row>
    <row r="345" spans="2:24" ht="216.6" customHeight="1" x14ac:dyDescent="0.2">
      <c r="B345" s="405"/>
      <c r="C345" s="406"/>
      <c r="D345" s="406"/>
      <c r="E345" s="406"/>
      <c r="F345" s="407"/>
      <c r="G345" s="581" t="s">
        <v>935</v>
      </c>
      <c r="H345" s="582"/>
      <c r="I345" s="582"/>
      <c r="J345" s="582"/>
      <c r="K345" s="582"/>
      <c r="L345" s="582"/>
      <c r="M345" s="582"/>
      <c r="N345" s="582"/>
      <c r="O345" s="582"/>
      <c r="P345" s="582"/>
      <c r="Q345" s="582"/>
      <c r="R345" s="583"/>
      <c r="S345" s="410"/>
      <c r="T345" s="411"/>
      <c r="U345" s="283"/>
      <c r="W345" s="584"/>
      <c r="X345" s="584"/>
    </row>
    <row r="346" spans="2:24" ht="315" customHeight="1" x14ac:dyDescent="0.2">
      <c r="B346" s="405"/>
      <c r="C346" s="406"/>
      <c r="D346" s="406"/>
      <c r="E346" s="406"/>
      <c r="F346" s="407"/>
      <c r="G346" s="581" t="s">
        <v>1133</v>
      </c>
      <c r="H346" s="582"/>
      <c r="I346" s="582"/>
      <c r="J346" s="582"/>
      <c r="K346" s="582"/>
      <c r="L346" s="582"/>
      <c r="M346" s="582"/>
      <c r="N346" s="582"/>
      <c r="O346" s="582"/>
      <c r="P346" s="582"/>
      <c r="Q346" s="582"/>
      <c r="R346" s="583"/>
      <c r="S346" s="410"/>
      <c r="T346" s="411"/>
      <c r="U346" s="283"/>
      <c r="W346" s="584"/>
      <c r="X346" s="584"/>
    </row>
    <row r="347" spans="2:24" ht="409.15" customHeight="1" x14ac:dyDescent="0.2">
      <c r="B347" s="405"/>
      <c r="C347" s="406"/>
      <c r="D347" s="406"/>
      <c r="E347" s="406"/>
      <c r="F347" s="407"/>
      <c r="G347" s="596" t="s">
        <v>1247</v>
      </c>
      <c r="H347" s="597"/>
      <c r="I347" s="597"/>
      <c r="J347" s="597"/>
      <c r="K347" s="597"/>
      <c r="L347" s="597"/>
      <c r="M347" s="597"/>
      <c r="N347" s="597"/>
      <c r="O347" s="597"/>
      <c r="P347" s="597"/>
      <c r="Q347" s="597"/>
      <c r="R347" s="598"/>
      <c r="S347" s="410"/>
      <c r="T347" s="411"/>
      <c r="U347" s="283"/>
      <c r="W347" s="584"/>
      <c r="X347" s="584"/>
    </row>
    <row r="348" spans="2:24" ht="250.15" customHeight="1" x14ac:dyDescent="0.2">
      <c r="B348" s="405"/>
      <c r="C348" s="406"/>
      <c r="D348" s="406"/>
      <c r="E348" s="406"/>
      <c r="F348" s="407"/>
      <c r="G348" s="599"/>
      <c r="H348" s="600"/>
      <c r="I348" s="600"/>
      <c r="J348" s="600"/>
      <c r="K348" s="600"/>
      <c r="L348" s="600"/>
      <c r="M348" s="600"/>
      <c r="N348" s="600"/>
      <c r="O348" s="600"/>
      <c r="P348" s="600"/>
      <c r="Q348" s="600"/>
      <c r="R348" s="601"/>
      <c r="S348" s="410"/>
      <c r="T348" s="411"/>
      <c r="U348" s="283"/>
      <c r="W348" s="584"/>
      <c r="X348" s="584"/>
    </row>
    <row r="349" spans="2:24" ht="408.6" customHeight="1" x14ac:dyDescent="0.2">
      <c r="B349" s="405"/>
      <c r="C349" s="406"/>
      <c r="D349" s="406"/>
      <c r="E349" s="406"/>
      <c r="F349" s="407"/>
      <c r="G349" s="596" t="s">
        <v>1134</v>
      </c>
      <c r="H349" s="597"/>
      <c r="I349" s="597"/>
      <c r="J349" s="597"/>
      <c r="K349" s="597"/>
      <c r="L349" s="597"/>
      <c r="M349" s="597"/>
      <c r="N349" s="597"/>
      <c r="O349" s="597"/>
      <c r="P349" s="597"/>
      <c r="Q349" s="597"/>
      <c r="R349" s="598"/>
      <c r="S349" s="410"/>
      <c r="T349" s="411"/>
      <c r="U349" s="283"/>
      <c r="W349" s="584"/>
      <c r="X349" s="584"/>
    </row>
    <row r="350" spans="2:24" ht="105.6" customHeight="1" x14ac:dyDescent="0.2">
      <c r="B350" s="405"/>
      <c r="C350" s="406"/>
      <c r="D350" s="406"/>
      <c r="E350" s="406"/>
      <c r="F350" s="407"/>
      <c r="G350" s="599"/>
      <c r="H350" s="600"/>
      <c r="I350" s="600"/>
      <c r="J350" s="600"/>
      <c r="K350" s="600"/>
      <c r="L350" s="600"/>
      <c r="M350" s="600"/>
      <c r="N350" s="600"/>
      <c r="O350" s="600"/>
      <c r="P350" s="600"/>
      <c r="Q350" s="600"/>
      <c r="R350" s="601"/>
      <c r="S350" s="410"/>
      <c r="T350" s="411"/>
      <c r="U350" s="283"/>
      <c r="W350" s="584"/>
      <c r="X350" s="584"/>
    </row>
    <row r="351" spans="2:24" ht="304.14999999999998" customHeight="1" x14ac:dyDescent="0.2">
      <c r="B351" s="405"/>
      <c r="C351" s="406"/>
      <c r="D351" s="406"/>
      <c r="E351" s="406"/>
      <c r="F351" s="407"/>
      <c r="G351" s="581" t="s">
        <v>1248</v>
      </c>
      <c r="H351" s="582"/>
      <c r="I351" s="582"/>
      <c r="J351" s="582"/>
      <c r="K351" s="582"/>
      <c r="L351" s="582"/>
      <c r="M351" s="582"/>
      <c r="N351" s="582"/>
      <c r="O351" s="582"/>
      <c r="P351" s="582"/>
      <c r="Q351" s="582"/>
      <c r="R351" s="583"/>
      <c r="S351" s="410"/>
      <c r="T351" s="411"/>
      <c r="U351" s="283"/>
      <c r="W351" s="584"/>
      <c r="X351" s="584"/>
    </row>
    <row r="352" spans="2:24" ht="143.44999999999999" customHeight="1" x14ac:dyDescent="0.2">
      <c r="B352" s="405"/>
      <c r="C352" s="406"/>
      <c r="D352" s="406"/>
      <c r="E352" s="406"/>
      <c r="F352" s="407"/>
      <c r="G352" s="581" t="s">
        <v>936</v>
      </c>
      <c r="H352" s="582"/>
      <c r="I352" s="582"/>
      <c r="J352" s="582"/>
      <c r="K352" s="582"/>
      <c r="L352" s="582"/>
      <c r="M352" s="582"/>
      <c r="N352" s="582"/>
      <c r="O352" s="582"/>
      <c r="P352" s="582"/>
      <c r="Q352" s="582"/>
      <c r="R352" s="583"/>
      <c r="S352" s="410"/>
      <c r="T352" s="411"/>
      <c r="U352" s="283"/>
      <c r="W352" s="584"/>
      <c r="X352" s="584"/>
    </row>
    <row r="353" spans="2:24" ht="174" customHeight="1" x14ac:dyDescent="0.2">
      <c r="B353" s="405"/>
      <c r="C353" s="406"/>
      <c r="D353" s="406"/>
      <c r="E353" s="406"/>
      <c r="F353" s="407"/>
      <c r="G353" s="581" t="s">
        <v>1135</v>
      </c>
      <c r="H353" s="582"/>
      <c r="I353" s="582"/>
      <c r="J353" s="582"/>
      <c r="K353" s="582"/>
      <c r="L353" s="582"/>
      <c r="M353" s="582"/>
      <c r="N353" s="582"/>
      <c r="O353" s="582"/>
      <c r="P353" s="582"/>
      <c r="Q353" s="582"/>
      <c r="R353" s="583"/>
      <c r="S353" s="410"/>
      <c r="T353" s="411"/>
      <c r="U353" s="283"/>
      <c r="W353" s="584"/>
      <c r="X353" s="584"/>
    </row>
    <row r="354" spans="2:24" ht="337.15" customHeight="1" x14ac:dyDescent="0.2">
      <c r="B354" s="405"/>
      <c r="C354" s="406"/>
      <c r="D354" s="406"/>
      <c r="E354" s="406"/>
      <c r="F354" s="407"/>
      <c r="G354" s="581" t="s">
        <v>937</v>
      </c>
      <c r="H354" s="582"/>
      <c r="I354" s="582"/>
      <c r="J354" s="582"/>
      <c r="K354" s="582"/>
      <c r="L354" s="582"/>
      <c r="M354" s="582"/>
      <c r="N354" s="582"/>
      <c r="O354" s="582"/>
      <c r="P354" s="582"/>
      <c r="Q354" s="582"/>
      <c r="R354" s="583"/>
      <c r="S354" s="410"/>
      <c r="T354" s="411"/>
      <c r="U354" s="283"/>
      <c r="W354" s="584"/>
      <c r="X354" s="584"/>
    </row>
    <row r="355" spans="2:24" ht="261" customHeight="1" x14ac:dyDescent="0.2">
      <c r="B355" s="405"/>
      <c r="C355" s="406"/>
      <c r="D355" s="406"/>
      <c r="E355" s="406"/>
      <c r="F355" s="407"/>
      <c r="G355" s="581" t="s">
        <v>938</v>
      </c>
      <c r="H355" s="582"/>
      <c r="I355" s="582"/>
      <c r="J355" s="582"/>
      <c r="K355" s="582"/>
      <c r="L355" s="582"/>
      <c r="M355" s="582"/>
      <c r="N355" s="582"/>
      <c r="O355" s="582"/>
      <c r="P355" s="582"/>
      <c r="Q355" s="582"/>
      <c r="R355" s="583"/>
      <c r="S355" s="410"/>
      <c r="T355" s="411"/>
      <c r="U355" s="283"/>
      <c r="W355" s="584"/>
      <c r="X355" s="584"/>
    </row>
    <row r="356" spans="2:24" ht="245.45" customHeight="1" x14ac:dyDescent="0.2">
      <c r="B356" s="405"/>
      <c r="C356" s="406"/>
      <c r="D356" s="406"/>
      <c r="E356" s="406"/>
      <c r="F356" s="407"/>
      <c r="G356" s="581" t="s">
        <v>1249</v>
      </c>
      <c r="H356" s="582"/>
      <c r="I356" s="582"/>
      <c r="J356" s="582"/>
      <c r="K356" s="582"/>
      <c r="L356" s="582"/>
      <c r="M356" s="582"/>
      <c r="N356" s="582"/>
      <c r="O356" s="582"/>
      <c r="P356" s="582"/>
      <c r="Q356" s="582"/>
      <c r="R356" s="583"/>
      <c r="S356" s="410"/>
      <c r="T356" s="411"/>
      <c r="U356" s="283"/>
      <c r="W356" s="584"/>
      <c r="X356" s="584"/>
    </row>
    <row r="357" spans="2:24" ht="328.9" customHeight="1" x14ac:dyDescent="0.2">
      <c r="B357" s="405"/>
      <c r="C357" s="406"/>
      <c r="D357" s="406"/>
      <c r="E357" s="406"/>
      <c r="F357" s="407"/>
      <c r="G357" s="581" t="s">
        <v>1257</v>
      </c>
      <c r="H357" s="582"/>
      <c r="I357" s="582"/>
      <c r="J357" s="582"/>
      <c r="K357" s="582"/>
      <c r="L357" s="582"/>
      <c r="M357" s="582"/>
      <c r="N357" s="582"/>
      <c r="O357" s="582"/>
      <c r="P357" s="582"/>
      <c r="Q357" s="582"/>
      <c r="R357" s="583"/>
      <c r="S357" s="410"/>
      <c r="T357" s="411"/>
      <c r="U357" s="283"/>
      <c r="W357" s="584"/>
      <c r="X357" s="584"/>
    </row>
    <row r="358" spans="2:24" ht="330.6" customHeight="1" x14ac:dyDescent="0.2">
      <c r="B358" s="405"/>
      <c r="C358" s="406"/>
      <c r="D358" s="406"/>
      <c r="E358" s="406"/>
      <c r="F358" s="407"/>
      <c r="G358" s="581" t="s">
        <v>939</v>
      </c>
      <c r="H358" s="582"/>
      <c r="I358" s="582"/>
      <c r="J358" s="582"/>
      <c r="K358" s="582"/>
      <c r="L358" s="582"/>
      <c r="M358" s="582"/>
      <c r="N358" s="582"/>
      <c r="O358" s="582"/>
      <c r="P358" s="582"/>
      <c r="Q358" s="582"/>
      <c r="R358" s="583"/>
      <c r="S358" s="410"/>
      <c r="T358" s="411"/>
      <c r="U358" s="283"/>
      <c r="W358" s="584"/>
      <c r="X358" s="584"/>
    </row>
    <row r="359" spans="2:24" ht="252" customHeight="1" x14ac:dyDescent="0.2">
      <c r="B359" s="405"/>
      <c r="C359" s="406"/>
      <c r="D359" s="406"/>
      <c r="E359" s="406"/>
      <c r="F359" s="407"/>
      <c r="G359" s="581" t="s">
        <v>940</v>
      </c>
      <c r="H359" s="582"/>
      <c r="I359" s="582"/>
      <c r="J359" s="582"/>
      <c r="K359" s="582"/>
      <c r="L359" s="582"/>
      <c r="M359" s="582"/>
      <c r="N359" s="582"/>
      <c r="O359" s="582"/>
      <c r="P359" s="582"/>
      <c r="Q359" s="582"/>
      <c r="R359" s="583"/>
      <c r="S359" s="410"/>
      <c r="T359" s="411"/>
      <c r="U359" s="283"/>
      <c r="W359" s="584"/>
      <c r="X359" s="584"/>
    </row>
    <row r="360" spans="2:24" ht="220.9" customHeight="1" x14ac:dyDescent="0.2">
      <c r="B360" s="405"/>
      <c r="C360" s="406"/>
      <c r="D360" s="406"/>
      <c r="E360" s="406"/>
      <c r="F360" s="407"/>
      <c r="G360" s="581" t="s">
        <v>941</v>
      </c>
      <c r="H360" s="582"/>
      <c r="I360" s="582"/>
      <c r="J360" s="582"/>
      <c r="K360" s="582"/>
      <c r="L360" s="582"/>
      <c r="M360" s="582"/>
      <c r="N360" s="582"/>
      <c r="O360" s="582"/>
      <c r="P360" s="582"/>
      <c r="Q360" s="582"/>
      <c r="R360" s="583"/>
      <c r="S360" s="410"/>
      <c r="T360" s="411"/>
      <c r="U360" s="283"/>
      <c r="W360" s="584"/>
      <c r="X360" s="584"/>
    </row>
    <row r="361" spans="2:24" ht="129" customHeight="1" x14ac:dyDescent="0.2">
      <c r="B361" s="405"/>
      <c r="C361" s="406"/>
      <c r="D361" s="406"/>
      <c r="E361" s="406"/>
      <c r="F361" s="407"/>
      <c r="G361" s="530" t="s">
        <v>908</v>
      </c>
      <c r="H361" s="531"/>
      <c r="I361" s="531"/>
      <c r="J361" s="531"/>
      <c r="K361" s="531"/>
      <c r="L361" s="531"/>
      <c r="M361" s="531"/>
      <c r="N361" s="531"/>
      <c r="O361" s="531"/>
      <c r="P361" s="531"/>
      <c r="Q361" s="531"/>
      <c r="R361" s="532"/>
      <c r="S361" s="410"/>
      <c r="T361" s="411"/>
      <c r="U361" s="283"/>
      <c r="W361" s="584"/>
      <c r="X361" s="584"/>
    </row>
    <row r="362" spans="2:24" ht="126" customHeight="1" x14ac:dyDescent="0.2">
      <c r="B362" s="405"/>
      <c r="C362" s="406"/>
      <c r="D362" s="406"/>
      <c r="E362" s="406"/>
      <c r="F362" s="407"/>
      <c r="G362" s="581" t="s">
        <v>1061</v>
      </c>
      <c r="H362" s="582"/>
      <c r="I362" s="582"/>
      <c r="J362" s="582"/>
      <c r="K362" s="582"/>
      <c r="L362" s="582"/>
      <c r="M362" s="582"/>
      <c r="N362" s="582"/>
      <c r="O362" s="582"/>
      <c r="P362" s="582"/>
      <c r="Q362" s="582"/>
      <c r="R362" s="583"/>
      <c r="S362" s="410"/>
      <c r="T362" s="411"/>
      <c r="U362" s="283"/>
      <c r="W362" s="110"/>
      <c r="X362" s="110"/>
    </row>
    <row r="363" spans="2:24" ht="409.15" customHeight="1" x14ac:dyDescent="0.2">
      <c r="B363" s="405"/>
      <c r="C363" s="406"/>
      <c r="D363" s="406"/>
      <c r="E363" s="406"/>
      <c r="F363" s="407"/>
      <c r="G363" s="596" t="s">
        <v>1250</v>
      </c>
      <c r="H363" s="597"/>
      <c r="I363" s="597"/>
      <c r="J363" s="597"/>
      <c r="K363" s="597"/>
      <c r="L363" s="597"/>
      <c r="M363" s="597"/>
      <c r="N363" s="597"/>
      <c r="O363" s="597"/>
      <c r="P363" s="597"/>
      <c r="Q363" s="597"/>
      <c r="R363" s="598"/>
      <c r="S363" s="410"/>
      <c r="T363" s="411"/>
      <c r="U363" s="283"/>
      <c r="W363" s="112"/>
      <c r="X363" s="112"/>
    </row>
    <row r="364" spans="2:24" ht="211.9" customHeight="1" thickBot="1" x14ac:dyDescent="0.25">
      <c r="B364" s="276"/>
      <c r="C364" s="277"/>
      <c r="D364" s="277"/>
      <c r="E364" s="277"/>
      <c r="F364" s="277"/>
      <c r="G364" s="606"/>
      <c r="H364" s="607"/>
      <c r="I364" s="607"/>
      <c r="J364" s="607"/>
      <c r="K364" s="607"/>
      <c r="L364" s="607"/>
      <c r="M364" s="607"/>
      <c r="N364" s="607"/>
      <c r="O364" s="607"/>
      <c r="P364" s="607"/>
      <c r="Q364" s="607"/>
      <c r="R364" s="608"/>
      <c r="S364" s="410"/>
      <c r="T364" s="411"/>
      <c r="U364" s="283"/>
      <c r="W364" s="112"/>
      <c r="X364" s="112"/>
    </row>
    <row r="365" spans="2:24" ht="244.15" customHeight="1" x14ac:dyDescent="0.2">
      <c r="B365" s="276"/>
      <c r="C365" s="277"/>
      <c r="D365" s="277"/>
      <c r="E365" s="277"/>
      <c r="F365" s="277"/>
      <c r="G365" s="609" t="s">
        <v>1136</v>
      </c>
      <c r="H365" s="610"/>
      <c r="I365" s="610"/>
      <c r="J365" s="610"/>
      <c r="K365" s="610"/>
      <c r="L365" s="610"/>
      <c r="M365" s="610"/>
      <c r="N365" s="610"/>
      <c r="O365" s="610"/>
      <c r="P365" s="610"/>
      <c r="Q365" s="610"/>
      <c r="R365" s="611"/>
      <c r="S365" s="412"/>
      <c r="T365" s="413"/>
      <c r="U365" s="283"/>
      <c r="W365" s="112"/>
      <c r="X365" s="112"/>
    </row>
    <row r="366" spans="2:24" ht="114.6" customHeight="1" x14ac:dyDescent="0.2">
      <c r="B366" s="361" t="s">
        <v>947</v>
      </c>
      <c r="C366" s="362"/>
      <c r="D366" s="362"/>
      <c r="E366" s="362"/>
      <c r="F366" s="362"/>
      <c r="G366" s="602" t="s">
        <v>942</v>
      </c>
      <c r="H366" s="602"/>
      <c r="I366" s="602"/>
      <c r="J366" s="602"/>
      <c r="K366" s="602"/>
      <c r="L366" s="602"/>
      <c r="M366" s="602"/>
      <c r="N366" s="602"/>
      <c r="O366" s="602"/>
      <c r="P366" s="602"/>
      <c r="Q366" s="602"/>
      <c r="R366" s="602"/>
      <c r="S366" s="408"/>
      <c r="T366" s="409"/>
      <c r="U366" s="283"/>
    </row>
    <row r="367" spans="2:24" ht="169.9" customHeight="1" x14ac:dyDescent="0.2">
      <c r="B367" s="361" t="s">
        <v>948</v>
      </c>
      <c r="C367" s="362"/>
      <c r="D367" s="362"/>
      <c r="E367" s="362"/>
      <c r="F367" s="362"/>
      <c r="G367" s="528" t="s">
        <v>943</v>
      </c>
      <c r="H367" s="528"/>
      <c r="I367" s="528"/>
      <c r="J367" s="528"/>
      <c r="K367" s="528"/>
      <c r="L367" s="528"/>
      <c r="M367" s="528"/>
      <c r="N367" s="528"/>
      <c r="O367" s="528"/>
      <c r="P367" s="528"/>
      <c r="Q367" s="528"/>
      <c r="R367" s="528"/>
      <c r="S367" s="410"/>
      <c r="T367" s="411"/>
      <c r="U367" s="283"/>
    </row>
    <row r="368" spans="2:24" ht="180" customHeight="1" x14ac:dyDescent="0.2">
      <c r="B368" s="361" t="s">
        <v>949</v>
      </c>
      <c r="C368" s="362"/>
      <c r="D368" s="362"/>
      <c r="E368" s="362"/>
      <c r="F368" s="362"/>
      <c r="G368" s="528" t="s">
        <v>944</v>
      </c>
      <c r="H368" s="528"/>
      <c r="I368" s="528"/>
      <c r="J368" s="528"/>
      <c r="K368" s="528"/>
      <c r="L368" s="528"/>
      <c r="M368" s="528"/>
      <c r="N368" s="528"/>
      <c r="O368" s="528"/>
      <c r="P368" s="528"/>
      <c r="Q368" s="528"/>
      <c r="R368" s="528"/>
      <c r="S368" s="410"/>
      <c r="T368" s="411"/>
      <c r="U368" s="283"/>
    </row>
    <row r="369" spans="1:21" ht="93.6" customHeight="1" x14ac:dyDescent="0.2">
      <c r="B369" s="361" t="s">
        <v>950</v>
      </c>
      <c r="C369" s="362"/>
      <c r="D369" s="362"/>
      <c r="E369" s="362"/>
      <c r="F369" s="362"/>
      <c r="G369" s="528" t="s">
        <v>945</v>
      </c>
      <c r="H369" s="528"/>
      <c r="I369" s="528"/>
      <c r="J369" s="528"/>
      <c r="K369" s="528"/>
      <c r="L369" s="528"/>
      <c r="M369" s="528"/>
      <c r="N369" s="528"/>
      <c r="O369" s="528"/>
      <c r="P369" s="528"/>
      <c r="Q369" s="528"/>
      <c r="R369" s="528"/>
      <c r="S369" s="410"/>
      <c r="T369" s="411"/>
      <c r="U369" s="283"/>
    </row>
    <row r="370" spans="1:21" ht="127.15" customHeight="1" x14ac:dyDescent="0.2">
      <c r="B370" s="361" t="s">
        <v>951</v>
      </c>
      <c r="C370" s="362"/>
      <c r="D370" s="362"/>
      <c r="E370" s="362"/>
      <c r="F370" s="362"/>
      <c r="G370" s="528" t="s">
        <v>946</v>
      </c>
      <c r="H370" s="528"/>
      <c r="I370" s="528"/>
      <c r="J370" s="528"/>
      <c r="K370" s="528"/>
      <c r="L370" s="528"/>
      <c r="M370" s="528"/>
      <c r="N370" s="528"/>
      <c r="O370" s="528"/>
      <c r="P370" s="528"/>
      <c r="Q370" s="528"/>
      <c r="R370" s="528"/>
      <c r="S370" s="410"/>
      <c r="T370" s="411"/>
      <c r="U370" s="283"/>
    </row>
    <row r="371" spans="1:21" ht="231" customHeight="1" x14ac:dyDescent="0.2">
      <c r="B371" s="361" t="s">
        <v>952</v>
      </c>
      <c r="C371" s="362"/>
      <c r="D371" s="362"/>
      <c r="E371" s="362"/>
      <c r="F371" s="362"/>
      <c r="G371" s="528" t="s">
        <v>1140</v>
      </c>
      <c r="H371" s="528"/>
      <c r="I371" s="528"/>
      <c r="J371" s="528"/>
      <c r="K371" s="528"/>
      <c r="L371" s="528"/>
      <c r="M371" s="528"/>
      <c r="N371" s="528"/>
      <c r="O371" s="528"/>
      <c r="P371" s="528"/>
      <c r="Q371" s="528"/>
      <c r="R371" s="528"/>
      <c r="S371" s="410"/>
      <c r="T371" s="411"/>
      <c r="U371" s="283"/>
    </row>
    <row r="372" spans="1:21" ht="127.9" customHeight="1" x14ac:dyDescent="0.2">
      <c r="B372" s="361" t="s">
        <v>953</v>
      </c>
      <c r="C372" s="362"/>
      <c r="D372" s="362"/>
      <c r="E372" s="362"/>
      <c r="F372" s="362"/>
      <c r="G372" s="528" t="s">
        <v>1102</v>
      </c>
      <c r="H372" s="528"/>
      <c r="I372" s="528"/>
      <c r="J372" s="528"/>
      <c r="K372" s="528"/>
      <c r="L372" s="528"/>
      <c r="M372" s="528"/>
      <c r="N372" s="528"/>
      <c r="O372" s="528"/>
      <c r="P372" s="528"/>
      <c r="Q372" s="528"/>
      <c r="R372" s="528"/>
      <c r="S372" s="410"/>
      <c r="T372" s="411"/>
      <c r="U372" s="283"/>
    </row>
    <row r="373" spans="1:21" ht="129.6" customHeight="1" x14ac:dyDescent="0.2">
      <c r="B373" s="361" t="s">
        <v>954</v>
      </c>
      <c r="C373" s="362"/>
      <c r="D373" s="362"/>
      <c r="E373" s="362"/>
      <c r="F373" s="363"/>
      <c r="G373" s="528" t="s">
        <v>1062</v>
      </c>
      <c r="H373" s="528"/>
      <c r="I373" s="528"/>
      <c r="J373" s="528"/>
      <c r="K373" s="528"/>
      <c r="L373" s="528"/>
      <c r="M373" s="528"/>
      <c r="N373" s="528"/>
      <c r="O373" s="528"/>
      <c r="P373" s="528"/>
      <c r="Q373" s="528"/>
      <c r="R373" s="528"/>
      <c r="S373" s="410"/>
      <c r="T373" s="411"/>
      <c r="U373" s="283"/>
    </row>
    <row r="374" spans="1:21" ht="97.15" customHeight="1" x14ac:dyDescent="0.2">
      <c r="B374" s="361" t="s">
        <v>955</v>
      </c>
      <c r="C374" s="362"/>
      <c r="D374" s="362"/>
      <c r="E374" s="362"/>
      <c r="F374" s="363"/>
      <c r="G374" s="528" t="s">
        <v>1063</v>
      </c>
      <c r="H374" s="528"/>
      <c r="I374" s="528"/>
      <c r="J374" s="528"/>
      <c r="K374" s="528"/>
      <c r="L374" s="528"/>
      <c r="M374" s="528"/>
      <c r="N374" s="528"/>
      <c r="O374" s="528"/>
      <c r="P374" s="528"/>
      <c r="Q374" s="528"/>
      <c r="R374" s="528"/>
      <c r="S374" s="410"/>
      <c r="T374" s="411"/>
      <c r="U374" s="283"/>
    </row>
    <row r="375" spans="1:21" ht="89.45" customHeight="1" x14ac:dyDescent="0.2">
      <c r="B375" s="361" t="s">
        <v>956</v>
      </c>
      <c r="C375" s="362"/>
      <c r="D375" s="362"/>
      <c r="E375" s="362"/>
      <c r="F375" s="363"/>
      <c r="G375" s="528" t="s">
        <v>1103</v>
      </c>
      <c r="H375" s="528"/>
      <c r="I375" s="528"/>
      <c r="J375" s="528"/>
      <c r="K375" s="528"/>
      <c r="L375" s="528"/>
      <c r="M375" s="528"/>
      <c r="N375" s="528"/>
      <c r="O375" s="528"/>
      <c r="P375" s="528"/>
      <c r="Q375" s="528"/>
      <c r="R375" s="528"/>
      <c r="S375" s="410"/>
      <c r="T375" s="411"/>
      <c r="U375" s="283"/>
    </row>
    <row r="376" spans="1:21" ht="111" customHeight="1" x14ac:dyDescent="0.2">
      <c r="B376" s="361" t="s">
        <v>957</v>
      </c>
      <c r="C376" s="362"/>
      <c r="D376" s="362"/>
      <c r="E376" s="362"/>
      <c r="F376" s="363"/>
      <c r="G376" s="528" t="s">
        <v>1258</v>
      </c>
      <c r="H376" s="528"/>
      <c r="I376" s="528"/>
      <c r="J376" s="528"/>
      <c r="K376" s="528"/>
      <c r="L376" s="528"/>
      <c r="M376" s="528"/>
      <c r="N376" s="528"/>
      <c r="O376" s="528"/>
      <c r="P376" s="528"/>
      <c r="Q376" s="528"/>
      <c r="R376" s="528"/>
      <c r="S376" s="410"/>
      <c r="T376" s="411"/>
      <c r="U376" s="283"/>
    </row>
    <row r="377" spans="1:21" ht="100.15" customHeight="1" x14ac:dyDescent="0.2">
      <c r="B377" s="361" t="s">
        <v>1138</v>
      </c>
      <c r="C377" s="362"/>
      <c r="D377" s="362"/>
      <c r="E377" s="362"/>
      <c r="F377" s="363"/>
      <c r="G377" s="528" t="s">
        <v>1139</v>
      </c>
      <c r="H377" s="528"/>
      <c r="I377" s="528"/>
      <c r="J377" s="528"/>
      <c r="K377" s="528"/>
      <c r="L377" s="528"/>
      <c r="M377" s="528"/>
      <c r="N377" s="528"/>
      <c r="O377" s="528"/>
      <c r="P377" s="528"/>
      <c r="Q377" s="528"/>
      <c r="R377" s="528"/>
      <c r="S377" s="412"/>
      <c r="T377" s="413"/>
      <c r="U377" s="283"/>
    </row>
    <row r="378" spans="1:21" ht="15" customHeight="1" x14ac:dyDescent="0.2">
      <c r="B378" s="661" t="s">
        <v>112</v>
      </c>
      <c r="C378" s="662"/>
      <c r="D378" s="662"/>
      <c r="E378" s="662"/>
      <c r="F378" s="662"/>
      <c r="G378" s="662"/>
      <c r="H378" s="662"/>
      <c r="I378" s="662"/>
      <c r="J378" s="662"/>
      <c r="K378" s="662"/>
      <c r="L378" s="662"/>
      <c r="M378" s="662"/>
      <c r="N378" s="662"/>
      <c r="O378" s="662"/>
      <c r="P378" s="662"/>
      <c r="Q378" s="662"/>
      <c r="R378" s="662"/>
      <c r="S378" s="662"/>
      <c r="T378" s="663"/>
    </row>
    <row r="379" spans="1:21" ht="15" customHeight="1" x14ac:dyDescent="0.2">
      <c r="B379" s="568" t="s">
        <v>47</v>
      </c>
      <c r="C379" s="569"/>
      <c r="D379" s="569"/>
      <c r="E379" s="569"/>
      <c r="F379" s="570"/>
      <c r="G379" s="465" t="s">
        <v>103</v>
      </c>
      <c r="H379" s="615"/>
      <c r="I379" s="615"/>
      <c r="J379" s="615"/>
      <c r="K379" s="615"/>
      <c r="L379" s="615"/>
      <c r="M379" s="615"/>
      <c r="N379" s="615"/>
      <c r="O379" s="615"/>
      <c r="P379" s="615"/>
      <c r="Q379" s="615"/>
      <c r="R379" s="466"/>
      <c r="S379" s="465" t="s">
        <v>104</v>
      </c>
      <c r="T379" s="466"/>
    </row>
    <row r="380" spans="1:21" ht="133.15" customHeight="1" x14ac:dyDescent="0.2">
      <c r="A380" s="54"/>
      <c r="B380" s="391" t="s">
        <v>543</v>
      </c>
      <c r="C380" s="391"/>
      <c r="D380" s="391"/>
      <c r="E380" s="391"/>
      <c r="F380" s="391"/>
      <c r="G380" s="660" t="s">
        <v>1339</v>
      </c>
      <c r="H380" s="660"/>
      <c r="I380" s="660"/>
      <c r="J380" s="660"/>
      <c r="K380" s="660"/>
      <c r="L380" s="660"/>
      <c r="M380" s="660"/>
      <c r="N380" s="660"/>
      <c r="O380" s="660"/>
      <c r="P380" s="660"/>
      <c r="Q380" s="660"/>
      <c r="R380" s="660"/>
      <c r="S380" s="530" t="s">
        <v>1344</v>
      </c>
      <c r="T380" s="532"/>
    </row>
    <row r="381" spans="1:21" ht="176.45" customHeight="1" x14ac:dyDescent="0.2">
      <c r="A381" s="54"/>
      <c r="B381" s="391" t="s">
        <v>544</v>
      </c>
      <c r="C381" s="391"/>
      <c r="D381" s="391"/>
      <c r="E381" s="391"/>
      <c r="F381" s="391"/>
      <c r="G381" s="603" t="s">
        <v>1340</v>
      </c>
      <c r="H381" s="604"/>
      <c r="I381" s="604"/>
      <c r="J381" s="604"/>
      <c r="K381" s="604"/>
      <c r="L381" s="604"/>
      <c r="M381" s="604"/>
      <c r="N381" s="604"/>
      <c r="O381" s="604"/>
      <c r="P381" s="604"/>
      <c r="Q381" s="604"/>
      <c r="R381" s="605"/>
      <c r="S381" s="530" t="str">
        <f>+S380</f>
        <v>Actividades de Operación ejecutadas en la Fase de Construcción
Semana 272</v>
      </c>
      <c r="T381" s="532"/>
    </row>
    <row r="382" spans="1:21" ht="193.9" customHeight="1" x14ac:dyDescent="0.2">
      <c r="A382" s="54"/>
      <c r="B382" s="391" t="s">
        <v>545</v>
      </c>
      <c r="C382" s="391"/>
      <c r="D382" s="391"/>
      <c r="E382" s="391"/>
      <c r="F382" s="391"/>
      <c r="G382" s="612" t="s">
        <v>1341</v>
      </c>
      <c r="H382" s="613"/>
      <c r="I382" s="613"/>
      <c r="J382" s="613"/>
      <c r="K382" s="613"/>
      <c r="L382" s="613"/>
      <c r="M382" s="613"/>
      <c r="N382" s="613"/>
      <c r="O382" s="613"/>
      <c r="P382" s="613"/>
      <c r="Q382" s="613"/>
      <c r="R382" s="614"/>
      <c r="S382" s="530" t="str">
        <f>+S380</f>
        <v>Actividades de Operación ejecutadas en la Fase de Construcción
Semana 272</v>
      </c>
      <c r="T382" s="532"/>
    </row>
    <row r="383" spans="1:21" ht="132.6" customHeight="1" x14ac:dyDescent="0.2">
      <c r="A383" s="54"/>
      <c r="B383" s="391" t="s">
        <v>546</v>
      </c>
      <c r="C383" s="391"/>
      <c r="D383" s="391"/>
      <c r="E383" s="391"/>
      <c r="F383" s="391"/>
      <c r="G383" s="612" t="s">
        <v>1342</v>
      </c>
      <c r="H383" s="613"/>
      <c r="I383" s="613"/>
      <c r="J383" s="613"/>
      <c r="K383" s="613"/>
      <c r="L383" s="613"/>
      <c r="M383" s="613"/>
      <c r="N383" s="613"/>
      <c r="O383" s="613"/>
      <c r="P383" s="613"/>
      <c r="Q383" s="613"/>
      <c r="R383" s="614"/>
      <c r="S383" s="530" t="str">
        <f>+S382</f>
        <v>Actividades de Operación ejecutadas en la Fase de Construcción
Semana 272</v>
      </c>
      <c r="T383" s="532"/>
    </row>
    <row r="384" spans="1:21" ht="156" customHeight="1" x14ac:dyDescent="0.2">
      <c r="A384" s="54"/>
      <c r="B384" s="391" t="s">
        <v>547</v>
      </c>
      <c r="C384" s="391"/>
      <c r="D384" s="391"/>
      <c r="E384" s="391"/>
      <c r="F384" s="391"/>
      <c r="G384" s="612" t="s">
        <v>1108</v>
      </c>
      <c r="H384" s="613"/>
      <c r="I384" s="613"/>
      <c r="J384" s="613"/>
      <c r="K384" s="613"/>
      <c r="L384" s="613"/>
      <c r="M384" s="613"/>
      <c r="N384" s="613"/>
      <c r="O384" s="613"/>
      <c r="P384" s="613"/>
      <c r="Q384" s="613"/>
      <c r="R384" s="614"/>
      <c r="S384" s="530" t="str">
        <f>+S380</f>
        <v>Actividades de Operación ejecutadas en la Fase de Construcción
Semana 272</v>
      </c>
      <c r="T384" s="532"/>
    </row>
    <row r="385" spans="1:20" ht="191.45" customHeight="1" x14ac:dyDescent="0.2">
      <c r="A385" s="54"/>
      <c r="B385" s="391" t="s">
        <v>548</v>
      </c>
      <c r="C385" s="391"/>
      <c r="D385" s="391"/>
      <c r="E385" s="391"/>
      <c r="F385" s="391"/>
      <c r="G385" s="657" t="s">
        <v>1343</v>
      </c>
      <c r="H385" s="658"/>
      <c r="I385" s="658"/>
      <c r="J385" s="658"/>
      <c r="K385" s="658"/>
      <c r="L385" s="658"/>
      <c r="M385" s="658"/>
      <c r="N385" s="658"/>
      <c r="O385" s="658"/>
      <c r="P385" s="658"/>
      <c r="Q385" s="658"/>
      <c r="R385" s="658"/>
      <c r="S385" s="530" t="str">
        <f>+S380</f>
        <v>Actividades de Operación ejecutadas en la Fase de Construcción
Semana 272</v>
      </c>
      <c r="T385" s="532"/>
    </row>
    <row r="386" spans="1:20" ht="301.89999999999998" customHeight="1" x14ac:dyDescent="0.2">
      <c r="B386" s="402" t="s">
        <v>306</v>
      </c>
      <c r="C386" s="403"/>
      <c r="D386" s="403"/>
      <c r="E386" s="403"/>
      <c r="F386" s="403"/>
      <c r="G386" s="654"/>
      <c r="H386" s="655"/>
      <c r="I386" s="655"/>
      <c r="J386" s="655"/>
      <c r="K386" s="655"/>
      <c r="L386" s="655"/>
      <c r="M386" s="655"/>
      <c r="N386" s="655"/>
      <c r="O386" s="655"/>
      <c r="P386" s="655"/>
      <c r="Q386" s="655"/>
      <c r="R386" s="656"/>
      <c r="S386" s="441"/>
      <c r="T386" s="443"/>
    </row>
    <row r="387" spans="1:20" ht="14.1" customHeight="1" x14ac:dyDescent="0.2">
      <c r="B387" s="68"/>
      <c r="C387" s="51"/>
      <c r="D387" s="51"/>
      <c r="E387" s="51"/>
      <c r="F387" s="51"/>
      <c r="G387" s="65"/>
      <c r="H387" s="49"/>
      <c r="I387" s="49"/>
      <c r="J387" s="49"/>
      <c r="K387" s="49"/>
      <c r="L387" s="49"/>
      <c r="M387" s="49"/>
      <c r="N387" s="49"/>
      <c r="O387" s="49"/>
      <c r="P387" s="49"/>
      <c r="Q387" s="49"/>
      <c r="R387" s="49"/>
      <c r="S387" s="51"/>
      <c r="T387" s="69"/>
    </row>
    <row r="388" spans="1:20" ht="24" customHeight="1" x14ac:dyDescent="0.2">
      <c r="B388" s="645" t="s">
        <v>105</v>
      </c>
      <c r="C388" s="646"/>
      <c r="D388" s="646"/>
      <c r="E388" s="646"/>
      <c r="F388" s="646"/>
      <c r="G388" s="646"/>
      <c r="H388" s="646"/>
      <c r="I388" s="646"/>
      <c r="J388" s="646"/>
      <c r="K388" s="646"/>
      <c r="L388" s="646"/>
      <c r="M388" s="646"/>
      <c r="N388" s="646"/>
      <c r="O388" s="646"/>
      <c r="P388" s="646"/>
      <c r="Q388" s="646"/>
      <c r="R388" s="646"/>
      <c r="S388" s="646"/>
      <c r="T388" s="647"/>
    </row>
    <row r="389" spans="1:20" ht="204.6" customHeight="1" x14ac:dyDescent="0.2">
      <c r="B389" s="659" t="s">
        <v>1310</v>
      </c>
      <c r="C389" s="659"/>
      <c r="D389" s="659"/>
      <c r="E389" s="659"/>
      <c r="F389" s="659"/>
      <c r="G389" s="659"/>
      <c r="H389" s="659"/>
      <c r="I389" s="659"/>
      <c r="J389" s="659"/>
      <c r="K389" s="659"/>
      <c r="L389" s="659"/>
      <c r="M389" s="659"/>
      <c r="N389" s="659"/>
      <c r="O389" s="659"/>
      <c r="P389" s="659"/>
      <c r="Q389" s="659"/>
      <c r="R389" s="659"/>
      <c r="S389" s="659"/>
      <c r="T389" s="659"/>
    </row>
    <row r="390" spans="1:20" ht="14.25" customHeight="1" x14ac:dyDescent="0.2">
      <c r="B390" s="648"/>
      <c r="C390" s="648"/>
      <c r="D390" s="648"/>
      <c r="E390" s="648"/>
      <c r="F390" s="648"/>
      <c r="G390" s="648"/>
      <c r="H390" s="648"/>
      <c r="I390" s="648"/>
      <c r="J390" s="648"/>
      <c r="K390" s="648"/>
      <c r="L390" s="648"/>
      <c r="M390" s="648"/>
      <c r="N390" s="648"/>
      <c r="O390" s="648"/>
      <c r="P390" s="648"/>
      <c r="Q390" s="649"/>
      <c r="R390" s="650"/>
      <c r="S390" s="648"/>
      <c r="T390" s="649"/>
    </row>
    <row r="391" spans="1:20" ht="15" customHeight="1" x14ac:dyDescent="0.2">
      <c r="B391" s="651" t="s">
        <v>106</v>
      </c>
      <c r="C391" s="652"/>
      <c r="D391" s="652"/>
      <c r="E391" s="652"/>
      <c r="F391" s="653"/>
      <c r="G391" s="651" t="s">
        <v>107</v>
      </c>
      <c r="H391" s="652"/>
      <c r="I391" s="652"/>
      <c r="J391" s="652"/>
      <c r="K391" s="652"/>
      <c r="L391" s="652"/>
      <c r="M391" s="652"/>
      <c r="N391" s="652"/>
      <c r="O391" s="652"/>
      <c r="P391" s="653"/>
      <c r="Q391" s="651" t="s">
        <v>108</v>
      </c>
      <c r="R391" s="652"/>
      <c r="S391" s="652"/>
      <c r="T391" s="653"/>
    </row>
    <row r="392" spans="1:20" ht="114.75" customHeight="1" x14ac:dyDescent="0.2">
      <c r="B392" s="639" t="s">
        <v>455</v>
      </c>
      <c r="C392" s="640"/>
      <c r="D392" s="640"/>
      <c r="E392" s="640"/>
      <c r="F392" s="641"/>
      <c r="G392" s="642" t="s">
        <v>288</v>
      </c>
      <c r="H392" s="643"/>
      <c r="I392" s="643"/>
      <c r="J392" s="643"/>
      <c r="K392" s="643"/>
      <c r="L392" s="643"/>
      <c r="M392" s="643"/>
      <c r="N392" s="643"/>
      <c r="O392" s="643"/>
      <c r="P392" s="644"/>
      <c r="Q392" s="642" t="s">
        <v>116</v>
      </c>
      <c r="R392" s="643"/>
      <c r="S392" s="643"/>
      <c r="T392" s="644"/>
    </row>
    <row r="393" spans="1:20" ht="13.9" customHeight="1" x14ac:dyDescent="0.2">
      <c r="G393" s="47"/>
      <c r="H393" s="47"/>
      <c r="I393" s="47"/>
      <c r="J393" s="47"/>
      <c r="K393" s="47"/>
      <c r="L393" s="47"/>
      <c r="M393" s="47"/>
      <c r="N393" s="47"/>
      <c r="O393" s="47"/>
      <c r="P393" s="47"/>
      <c r="Q393" s="48"/>
      <c r="R393" s="48"/>
    </row>
  </sheetData>
  <mergeCells count="1036">
    <mergeCell ref="B47:H47"/>
    <mergeCell ref="I47:J47"/>
    <mergeCell ref="K47:L47"/>
    <mergeCell ref="M47:R47"/>
    <mergeCell ref="G240:J240"/>
    <mergeCell ref="K240:T240"/>
    <mergeCell ref="G327:R328"/>
    <mergeCell ref="B111:E112"/>
    <mergeCell ref="B113:E113"/>
    <mergeCell ref="B377:F377"/>
    <mergeCell ref="G377:R377"/>
    <mergeCell ref="S366:T377"/>
    <mergeCell ref="I63:R63"/>
    <mergeCell ref="S63:T63"/>
    <mergeCell ref="C53:D63"/>
    <mergeCell ref="E61:H61"/>
    <mergeCell ref="B48:H48"/>
    <mergeCell ref="E63:H63"/>
    <mergeCell ref="S62:T62"/>
    <mergeCell ref="I66:R66"/>
    <mergeCell ref="B154:D154"/>
    <mergeCell ref="G376:R376"/>
    <mergeCell ref="B376:F376"/>
    <mergeCell ref="C254:F254"/>
    <mergeCell ref="B257:T257"/>
    <mergeCell ref="K132:R132"/>
    <mergeCell ref="B130:T130"/>
    <mergeCell ref="B178:C178"/>
    <mergeCell ref="E212:F212"/>
    <mergeCell ref="B195:C195"/>
    <mergeCell ref="F167:I167"/>
    <mergeCell ref="J164:T164"/>
    <mergeCell ref="G267:H267"/>
    <mergeCell ref="G210:J211"/>
    <mergeCell ref="B42:H42"/>
    <mergeCell ref="I42:J42"/>
    <mergeCell ref="K42:L42"/>
    <mergeCell ref="M42:R42"/>
    <mergeCell ref="B39:H39"/>
    <mergeCell ref="I39:J39"/>
    <mergeCell ref="K39:L39"/>
    <mergeCell ref="M39:R39"/>
    <mergeCell ref="B41:H41"/>
    <mergeCell ref="I41:J41"/>
    <mergeCell ref="K41:L41"/>
    <mergeCell ref="M41:R41"/>
    <mergeCell ref="B40:H40"/>
    <mergeCell ref="I40:J40"/>
    <mergeCell ref="K40:L40"/>
    <mergeCell ref="M40:R40"/>
    <mergeCell ref="S55:T55"/>
    <mergeCell ref="S59:T59"/>
    <mergeCell ref="S60:T60"/>
    <mergeCell ref="I57:R57"/>
    <mergeCell ref="S57:T57"/>
    <mergeCell ref="S52:T52"/>
    <mergeCell ref="E55:H55"/>
    <mergeCell ref="I52:R52"/>
    <mergeCell ref="E60:H60"/>
    <mergeCell ref="B44:H44"/>
    <mergeCell ref="I44:J44"/>
    <mergeCell ref="K44:L44"/>
    <mergeCell ref="M44:R44"/>
    <mergeCell ref="B46:H46"/>
    <mergeCell ref="I46:J46"/>
    <mergeCell ref="K46:L46"/>
    <mergeCell ref="M46:R46"/>
    <mergeCell ref="B45:H45"/>
    <mergeCell ref="I45:J45"/>
    <mergeCell ref="K45:L45"/>
    <mergeCell ref="M45:R45"/>
    <mergeCell ref="B155:D155"/>
    <mergeCell ref="E155:F155"/>
    <mergeCell ref="B162:C162"/>
    <mergeCell ref="E143:F143"/>
    <mergeCell ref="B142:D142"/>
    <mergeCell ref="B146:D146"/>
    <mergeCell ref="B141:D141"/>
    <mergeCell ref="L139:T150"/>
    <mergeCell ref="D171:E171"/>
    <mergeCell ref="S135:T135"/>
    <mergeCell ref="F166:I166"/>
    <mergeCell ref="J168:T168"/>
    <mergeCell ref="D169:E169"/>
    <mergeCell ref="B166:C166"/>
    <mergeCell ref="J173:T173"/>
    <mergeCell ref="B138:T138"/>
    <mergeCell ref="S136:T136"/>
    <mergeCell ref="B143:D143"/>
    <mergeCell ref="B156:K156"/>
    <mergeCell ref="D172:E172"/>
    <mergeCell ref="F172:I172"/>
    <mergeCell ref="B173:C173"/>
    <mergeCell ref="B168:C168"/>
    <mergeCell ref="I155:K155"/>
    <mergeCell ref="G155:H155"/>
    <mergeCell ref="D167:E167"/>
    <mergeCell ref="F168:I168"/>
    <mergeCell ref="J167:T167"/>
    <mergeCell ref="B136:C136"/>
    <mergeCell ref="D136:J136"/>
    <mergeCell ref="L153:T160"/>
    <mergeCell ref="B259:K259"/>
    <mergeCell ref="C218:D218"/>
    <mergeCell ref="H207:L207"/>
    <mergeCell ref="G218:J218"/>
    <mergeCell ref="F193:I193"/>
    <mergeCell ref="C204:E204"/>
    <mergeCell ref="G237:J237"/>
    <mergeCell ref="K237:T237"/>
    <mergeCell ref="E228:F228"/>
    <mergeCell ref="F191:I191"/>
    <mergeCell ref="G308:R309"/>
    <mergeCell ref="S307:T307"/>
    <mergeCell ref="K136:R136"/>
    <mergeCell ref="B189:C189"/>
    <mergeCell ref="D189:E189"/>
    <mergeCell ref="F189:I189"/>
    <mergeCell ref="G158:K158"/>
    <mergeCell ref="B308:F309"/>
    <mergeCell ref="G307:R307"/>
    <mergeCell ref="D177:E177"/>
    <mergeCell ref="F177:I177"/>
    <mergeCell ref="D178:E178"/>
    <mergeCell ref="J179:T179"/>
    <mergeCell ref="D181:E181"/>
    <mergeCell ref="F178:I178"/>
    <mergeCell ref="F181:I181"/>
    <mergeCell ref="J181:T181"/>
    <mergeCell ref="C215:D215"/>
    <mergeCell ref="F179:I179"/>
    <mergeCell ref="J183:T183"/>
    <mergeCell ref="C240:D240"/>
    <mergeCell ref="E240:F240"/>
    <mergeCell ref="C237:D237"/>
    <mergeCell ref="E237:F237"/>
    <mergeCell ref="C211:D211"/>
    <mergeCell ref="H204:I204"/>
    <mergeCell ref="E221:F221"/>
    <mergeCell ref="K210:T211"/>
    <mergeCell ref="B177:C177"/>
    <mergeCell ref="K225:T225"/>
    <mergeCell ref="G225:J225"/>
    <mergeCell ref="J193:T193"/>
    <mergeCell ref="D194:E194"/>
    <mergeCell ref="D197:E197"/>
    <mergeCell ref="F197:I197"/>
    <mergeCell ref="J197:T197"/>
    <mergeCell ref="K236:T236"/>
    <mergeCell ref="J188:T188"/>
    <mergeCell ref="B193:C193"/>
    <mergeCell ref="B198:C198"/>
    <mergeCell ref="C233:D233"/>
    <mergeCell ref="C231:D231"/>
    <mergeCell ref="G231:J231"/>
    <mergeCell ref="C227:D227"/>
    <mergeCell ref="E227:F227"/>
    <mergeCell ref="G216:J216"/>
    <mergeCell ref="K229:T229"/>
    <mergeCell ref="J203:L203"/>
    <mergeCell ref="C212:D212"/>
    <mergeCell ref="C232:D232"/>
    <mergeCell ref="E232:F232"/>
    <mergeCell ref="C206:D206"/>
    <mergeCell ref="C221:D221"/>
    <mergeCell ref="C241:D241"/>
    <mergeCell ref="D108:J108"/>
    <mergeCell ref="K108:R108"/>
    <mergeCell ref="S108:T108"/>
    <mergeCell ref="B105:C105"/>
    <mergeCell ref="E100:I100"/>
    <mergeCell ref="J99:R99"/>
    <mergeCell ref="J100:R100"/>
    <mergeCell ref="S100:T100"/>
    <mergeCell ref="S112:T112"/>
    <mergeCell ref="D105:J105"/>
    <mergeCell ref="K105:R105"/>
    <mergeCell ref="G110:R110"/>
    <mergeCell ref="B103:C103"/>
    <mergeCell ref="D103:J103"/>
    <mergeCell ref="S103:T103"/>
    <mergeCell ref="C99:D99"/>
    <mergeCell ref="C100:D100"/>
    <mergeCell ref="B106:C106"/>
    <mergeCell ref="D106:J106"/>
    <mergeCell ref="K106:R106"/>
    <mergeCell ref="S106:T106"/>
    <mergeCell ref="B107:C107"/>
    <mergeCell ref="D107:J107"/>
    <mergeCell ref="K107:R107"/>
    <mergeCell ref="S107:T107"/>
    <mergeCell ref="K103:R103"/>
    <mergeCell ref="K123:R123"/>
    <mergeCell ref="E154:F154"/>
    <mergeCell ref="B151:T151"/>
    <mergeCell ref="F163:I163"/>
    <mergeCell ref="F165:I165"/>
    <mergeCell ref="I59:R59"/>
    <mergeCell ref="E69:H69"/>
    <mergeCell ref="K48:L48"/>
    <mergeCell ref="M48:R48"/>
    <mergeCell ref="E57:H57"/>
    <mergeCell ref="C64:D74"/>
    <mergeCell ref="E65:H65"/>
    <mergeCell ref="I65:R65"/>
    <mergeCell ref="E71:H71"/>
    <mergeCell ref="D132:J132"/>
    <mergeCell ref="B50:T50"/>
    <mergeCell ref="B51:T51"/>
    <mergeCell ref="D123:J123"/>
    <mergeCell ref="E52:H52"/>
    <mergeCell ref="G111:R111"/>
    <mergeCell ref="S61:T61"/>
    <mergeCell ref="B117:T117"/>
    <mergeCell ref="B78:T78"/>
    <mergeCell ref="E73:H73"/>
    <mergeCell ref="S64:T64"/>
    <mergeCell ref="S74:T74"/>
    <mergeCell ref="B104:C104"/>
    <mergeCell ref="D104:J104"/>
    <mergeCell ref="K104:R104"/>
    <mergeCell ref="S104:T104"/>
    <mergeCell ref="B108:C108"/>
    <mergeCell ref="E91:I91"/>
    <mergeCell ref="J91:R91"/>
    <mergeCell ref="B132:C132"/>
    <mergeCell ref="I74:R74"/>
    <mergeCell ref="E76:H76"/>
    <mergeCell ref="I76:R76"/>
    <mergeCell ref="B43:H43"/>
    <mergeCell ref="I43:J43"/>
    <mergeCell ref="K43:L43"/>
    <mergeCell ref="M43:R43"/>
    <mergeCell ref="I48:J48"/>
    <mergeCell ref="D183:E183"/>
    <mergeCell ref="F183:I183"/>
    <mergeCell ref="B131:C131"/>
    <mergeCell ref="K131:R131"/>
    <mergeCell ref="J165:T165"/>
    <mergeCell ref="F161:I162"/>
    <mergeCell ref="D166:E166"/>
    <mergeCell ref="J166:T166"/>
    <mergeCell ref="E56:H56"/>
    <mergeCell ref="E58:H58"/>
    <mergeCell ref="S58:T58"/>
    <mergeCell ref="I55:R55"/>
    <mergeCell ref="E54:H54"/>
    <mergeCell ref="B160:K160"/>
    <mergeCell ref="B133:C133"/>
    <mergeCell ref="D133:J133"/>
    <mergeCell ref="G154:H154"/>
    <mergeCell ref="I58:R58"/>
    <mergeCell ref="S54:T54"/>
    <mergeCell ref="D165:E165"/>
    <mergeCell ref="B110:E110"/>
    <mergeCell ref="S71:T71"/>
    <mergeCell ref="S72:T72"/>
    <mergeCell ref="C52:D52"/>
    <mergeCell ref="I64:R64"/>
    <mergeCell ref="E70:H70"/>
    <mergeCell ref="E72:H72"/>
    <mergeCell ref="D134:J134"/>
    <mergeCell ref="B165:C165"/>
    <mergeCell ref="S105:T105"/>
    <mergeCell ref="B191:C191"/>
    <mergeCell ref="D102:J102"/>
    <mergeCell ref="K102:R102"/>
    <mergeCell ref="S102:T102"/>
    <mergeCell ref="S95:T95"/>
    <mergeCell ref="S93:T93"/>
    <mergeCell ref="J94:R94"/>
    <mergeCell ref="J98:R98"/>
    <mergeCell ref="J97:R97"/>
    <mergeCell ref="J92:R92"/>
    <mergeCell ref="B102:C102"/>
    <mergeCell ref="B127:T127"/>
    <mergeCell ref="B128:T128"/>
    <mergeCell ref="B129:T129"/>
    <mergeCell ref="S123:T123"/>
    <mergeCell ref="B174:C174"/>
    <mergeCell ref="E98:I98"/>
    <mergeCell ref="B101:T101"/>
    <mergeCell ref="B134:C134"/>
    <mergeCell ref="E145:F145"/>
    <mergeCell ref="B135:C135"/>
    <mergeCell ref="D135:J135"/>
    <mergeCell ref="B149:D149"/>
    <mergeCell ref="B123:C123"/>
    <mergeCell ref="B126:T126"/>
    <mergeCell ref="B140:K140"/>
    <mergeCell ref="B183:C183"/>
    <mergeCell ref="C230:D230"/>
    <mergeCell ref="E230:F230"/>
    <mergeCell ref="G230:J230"/>
    <mergeCell ref="G228:J228"/>
    <mergeCell ref="C222:D222"/>
    <mergeCell ref="K221:T221"/>
    <mergeCell ref="C226:D226"/>
    <mergeCell ref="E226:F226"/>
    <mergeCell ref="B188:C188"/>
    <mergeCell ref="K215:T215"/>
    <mergeCell ref="C216:D216"/>
    <mergeCell ref="E218:F218"/>
    <mergeCell ref="K214:T214"/>
    <mergeCell ref="F204:G204"/>
    <mergeCell ref="H206:I206"/>
    <mergeCell ref="E206:F206"/>
    <mergeCell ref="J200:T200"/>
    <mergeCell ref="B200:C200"/>
    <mergeCell ref="D200:E200"/>
    <mergeCell ref="F200:I200"/>
    <mergeCell ref="F199:I199"/>
    <mergeCell ref="J199:T199"/>
    <mergeCell ref="C229:D229"/>
    <mergeCell ref="G227:J227"/>
    <mergeCell ref="K227:T227"/>
    <mergeCell ref="K212:T212"/>
    <mergeCell ref="G213:J213"/>
    <mergeCell ref="K213:T213"/>
    <mergeCell ref="E211:F211"/>
    <mergeCell ref="G226:J226"/>
    <mergeCell ref="E214:F214"/>
    <mergeCell ref="G212:J212"/>
    <mergeCell ref="C279:E279"/>
    <mergeCell ref="C283:D283"/>
    <mergeCell ref="I260:K260"/>
    <mergeCell ref="B261:D261"/>
    <mergeCell ref="D264:E264"/>
    <mergeCell ref="B265:K265"/>
    <mergeCell ref="G264:K264"/>
    <mergeCell ref="L259:T259"/>
    <mergeCell ref="G260:H260"/>
    <mergeCell ref="B260:D260"/>
    <mergeCell ref="B258:T258"/>
    <mergeCell ref="E260:F260"/>
    <mergeCell ref="B268:F268"/>
    <mergeCell ref="L268:T268"/>
    <mergeCell ref="K249:L249"/>
    <mergeCell ref="C246:E246"/>
    <mergeCell ref="C253:T253"/>
    <mergeCell ref="B262:K262"/>
    <mergeCell ref="M256:T256"/>
    <mergeCell ref="C249:D249"/>
    <mergeCell ref="H248:I248"/>
    <mergeCell ref="C251:L251"/>
    <mergeCell ref="G252:H252"/>
    <mergeCell ref="E248:F248"/>
    <mergeCell ref="B243:B256"/>
    <mergeCell ref="J245:L245"/>
    <mergeCell ref="L260:T266"/>
    <mergeCell ref="D263:E263"/>
    <mergeCell ref="G256:I256"/>
    <mergeCell ref="M254:T255"/>
    <mergeCell ref="G254:I255"/>
    <mergeCell ref="J256:L256"/>
    <mergeCell ref="C294:E294"/>
    <mergeCell ref="F246:G246"/>
    <mergeCell ref="J281:L281"/>
    <mergeCell ref="J279:L279"/>
    <mergeCell ref="J273:T273"/>
    <mergeCell ref="D273:E273"/>
    <mergeCell ref="C280:E280"/>
    <mergeCell ref="F281:G281"/>
    <mergeCell ref="C281:E281"/>
    <mergeCell ref="H281:I281"/>
    <mergeCell ref="C292:L292"/>
    <mergeCell ref="G229:J229"/>
    <mergeCell ref="C223:D223"/>
    <mergeCell ref="E223:F223"/>
    <mergeCell ref="E236:F236"/>
    <mergeCell ref="G236:J236"/>
    <mergeCell ref="B300:F300"/>
    <mergeCell ref="B277:B289"/>
    <mergeCell ref="C288:F288"/>
    <mergeCell ref="C293:E293"/>
    <mergeCell ref="B276:T276"/>
    <mergeCell ref="C286:G286"/>
    <mergeCell ref="C248:D248"/>
    <mergeCell ref="C252:E252"/>
    <mergeCell ref="K248:L248"/>
    <mergeCell ref="I261:K261"/>
    <mergeCell ref="H279:I279"/>
    <mergeCell ref="H286:I286"/>
    <mergeCell ref="C284:D284"/>
    <mergeCell ref="J280:L280"/>
    <mergeCell ref="C277:T277"/>
    <mergeCell ref="M279:T285"/>
    <mergeCell ref="D272:E272"/>
    <mergeCell ref="D270:E270"/>
    <mergeCell ref="J271:T271"/>
    <mergeCell ref="F272:I272"/>
    <mergeCell ref="J272:T272"/>
    <mergeCell ref="B270:C270"/>
    <mergeCell ref="H249:I249"/>
    <mergeCell ref="E256:F256"/>
    <mergeCell ref="I268:J268"/>
    <mergeCell ref="B263:C263"/>
    <mergeCell ref="B266:K266"/>
    <mergeCell ref="C243:T243"/>
    <mergeCell ref="C256:D256"/>
    <mergeCell ref="G263:K263"/>
    <mergeCell ref="M244:T252"/>
    <mergeCell ref="C244:L244"/>
    <mergeCell ref="F245:G245"/>
    <mergeCell ref="C245:E245"/>
    <mergeCell ref="J254:L255"/>
    <mergeCell ref="C255:D255"/>
    <mergeCell ref="E255:F255"/>
    <mergeCell ref="E249:F249"/>
    <mergeCell ref="J252:K252"/>
    <mergeCell ref="I267:J267"/>
    <mergeCell ref="L267:T267"/>
    <mergeCell ref="F271:I271"/>
    <mergeCell ref="J246:L246"/>
    <mergeCell ref="H245:I245"/>
    <mergeCell ref="H246:I246"/>
    <mergeCell ref="B267:F267"/>
    <mergeCell ref="F269:I270"/>
    <mergeCell ref="D271:E271"/>
    <mergeCell ref="B305:T305"/>
    <mergeCell ref="G300:R300"/>
    <mergeCell ref="M292:T292"/>
    <mergeCell ref="S306:T306"/>
    <mergeCell ref="S301:T301"/>
    <mergeCell ref="F274:I274"/>
    <mergeCell ref="B274:C274"/>
    <mergeCell ref="B272:C272"/>
    <mergeCell ref="B275:T275"/>
    <mergeCell ref="D274:E274"/>
    <mergeCell ref="J269:T270"/>
    <mergeCell ref="B269:E269"/>
    <mergeCell ref="B273:C273"/>
    <mergeCell ref="F273:I273"/>
    <mergeCell ref="G268:H268"/>
    <mergeCell ref="J286:K286"/>
    <mergeCell ref="E283:F283"/>
    <mergeCell ref="B291:B296"/>
    <mergeCell ref="M293:T294"/>
    <mergeCell ref="C295:F295"/>
    <mergeCell ref="C296:D296"/>
    <mergeCell ref="E296:F296"/>
    <mergeCell ref="G306:R306"/>
    <mergeCell ref="M278:T278"/>
    <mergeCell ref="E284:F284"/>
    <mergeCell ref="F294:G294"/>
    <mergeCell ref="H294:I294"/>
    <mergeCell ref="J294:L294"/>
    <mergeCell ref="G295:J296"/>
    <mergeCell ref="F293:G293"/>
    <mergeCell ref="H293:I293"/>
    <mergeCell ref="J293:L293"/>
    <mergeCell ref="B392:F392"/>
    <mergeCell ref="G392:P392"/>
    <mergeCell ref="Q392:T392"/>
    <mergeCell ref="B388:T388"/>
    <mergeCell ref="B390:Q390"/>
    <mergeCell ref="R390:T390"/>
    <mergeCell ref="B384:F384"/>
    <mergeCell ref="G384:R384"/>
    <mergeCell ref="S384:T384"/>
    <mergeCell ref="B391:F391"/>
    <mergeCell ref="G391:P391"/>
    <mergeCell ref="Q391:T391"/>
    <mergeCell ref="B386:F386"/>
    <mergeCell ref="G386:R386"/>
    <mergeCell ref="S386:T386"/>
    <mergeCell ref="G347:R348"/>
    <mergeCell ref="G369:R369"/>
    <mergeCell ref="B369:F369"/>
    <mergeCell ref="G368:R368"/>
    <mergeCell ref="G359:R359"/>
    <mergeCell ref="B368:F368"/>
    <mergeCell ref="G385:R385"/>
    <mergeCell ref="B383:F383"/>
    <mergeCell ref="B389:T389"/>
    <mergeCell ref="S383:T383"/>
    <mergeCell ref="G380:R380"/>
    <mergeCell ref="S380:T380"/>
    <mergeCell ref="B381:F381"/>
    <mergeCell ref="B382:F382"/>
    <mergeCell ref="B378:T378"/>
    <mergeCell ref="B379:F379"/>
    <mergeCell ref="S385:T385"/>
    <mergeCell ref="J274:T274"/>
    <mergeCell ref="B264:C264"/>
    <mergeCell ref="G335:R335"/>
    <mergeCell ref="C291:T291"/>
    <mergeCell ref="C287:G287"/>
    <mergeCell ref="C289:D289"/>
    <mergeCell ref="G334:R334"/>
    <mergeCell ref="G312:R312"/>
    <mergeCell ref="B306:F306"/>
    <mergeCell ref="S311:T311"/>
    <mergeCell ref="G303:R303"/>
    <mergeCell ref="M286:T286"/>
    <mergeCell ref="F279:G279"/>
    <mergeCell ref="C278:L278"/>
    <mergeCell ref="H283:L283"/>
    <mergeCell ref="H280:I280"/>
    <mergeCell ref="G288:J289"/>
    <mergeCell ref="K288:T289"/>
    <mergeCell ref="E289:F289"/>
    <mergeCell ref="S300:T300"/>
    <mergeCell ref="H287:I287"/>
    <mergeCell ref="B290:T290"/>
    <mergeCell ref="B303:F303"/>
    <mergeCell ref="J287:K287"/>
    <mergeCell ref="F280:G280"/>
    <mergeCell ref="B271:C271"/>
    <mergeCell ref="B311:F311"/>
    <mergeCell ref="G311:R311"/>
    <mergeCell ref="H284:L284"/>
    <mergeCell ref="G314:R314"/>
    <mergeCell ref="M287:T287"/>
    <mergeCell ref="C285:L285"/>
    <mergeCell ref="G366:R366"/>
    <mergeCell ref="G349:R350"/>
    <mergeCell ref="G360:R360"/>
    <mergeCell ref="B371:F371"/>
    <mergeCell ref="G371:R371"/>
    <mergeCell ref="B372:F372"/>
    <mergeCell ref="G372:R372"/>
    <mergeCell ref="B385:F385"/>
    <mergeCell ref="G381:R381"/>
    <mergeCell ref="S381:T381"/>
    <mergeCell ref="B380:F380"/>
    <mergeCell ref="B370:F370"/>
    <mergeCell ref="G370:R370"/>
    <mergeCell ref="G362:R362"/>
    <mergeCell ref="G363:R364"/>
    <mergeCell ref="G365:R365"/>
    <mergeCell ref="B366:F366"/>
    <mergeCell ref="G382:R382"/>
    <mergeCell ref="S382:T382"/>
    <mergeCell ref="G373:R373"/>
    <mergeCell ref="G374:R374"/>
    <mergeCell ref="B373:F373"/>
    <mergeCell ref="B374:F374"/>
    <mergeCell ref="G379:R379"/>
    <mergeCell ref="S379:T379"/>
    <mergeCell ref="G383:R383"/>
    <mergeCell ref="B375:F375"/>
    <mergeCell ref="G375:R375"/>
    <mergeCell ref="G367:R367"/>
    <mergeCell ref="B367:F367"/>
    <mergeCell ref="G357:R357"/>
    <mergeCell ref="G358:R358"/>
    <mergeCell ref="G354:R354"/>
    <mergeCell ref="G353:R353"/>
    <mergeCell ref="G352:R352"/>
    <mergeCell ref="G355:R355"/>
    <mergeCell ref="G351:R351"/>
    <mergeCell ref="G339:R339"/>
    <mergeCell ref="G340:R340"/>
    <mergeCell ref="G333:R333"/>
    <mergeCell ref="G332:R332"/>
    <mergeCell ref="G329:R330"/>
    <mergeCell ref="G319:R319"/>
    <mergeCell ref="G320:R320"/>
    <mergeCell ref="G336:R337"/>
    <mergeCell ref="G345:R345"/>
    <mergeCell ref="G346:R346"/>
    <mergeCell ref="G323:R324"/>
    <mergeCell ref="G338:R338"/>
    <mergeCell ref="G341:R341"/>
    <mergeCell ref="G343:R343"/>
    <mergeCell ref="G342:R342"/>
    <mergeCell ref="G344:R344"/>
    <mergeCell ref="B297:T297"/>
    <mergeCell ref="K295:T296"/>
    <mergeCell ref="V300:W300"/>
    <mergeCell ref="B298:T298"/>
    <mergeCell ref="B299:F299"/>
    <mergeCell ref="G299:R299"/>
    <mergeCell ref="S299:T299"/>
    <mergeCell ref="B304:F304"/>
    <mergeCell ref="G304:R304"/>
    <mergeCell ref="S304:T304"/>
    <mergeCell ref="B302:F302"/>
    <mergeCell ref="S303:T303"/>
    <mergeCell ref="B301:F301"/>
    <mergeCell ref="G301:R301"/>
    <mergeCell ref="G302:R302"/>
    <mergeCell ref="S302:T302"/>
    <mergeCell ref="G331:R331"/>
    <mergeCell ref="G326:R326"/>
    <mergeCell ref="G325:R325"/>
    <mergeCell ref="G322:R322"/>
    <mergeCell ref="W312:X361"/>
    <mergeCell ref="G313:R313"/>
    <mergeCell ref="G315:R315"/>
    <mergeCell ref="G316:R316"/>
    <mergeCell ref="G317:R317"/>
    <mergeCell ref="G318:R318"/>
    <mergeCell ref="G321:R321"/>
    <mergeCell ref="G356:R356"/>
    <mergeCell ref="B310:F310"/>
    <mergeCell ref="G310:R310"/>
    <mergeCell ref="S310:T310"/>
    <mergeCell ref="B307:F307"/>
    <mergeCell ref="S308:T309"/>
    <mergeCell ref="G361:R361"/>
    <mergeCell ref="B10:E11"/>
    <mergeCell ref="J16:N18"/>
    <mergeCell ref="F16:I18"/>
    <mergeCell ref="B16:E18"/>
    <mergeCell ref="B14:E15"/>
    <mergeCell ref="R16:T18"/>
    <mergeCell ref="O16:Q18"/>
    <mergeCell ref="B38:H38"/>
    <mergeCell ref="I38:J38"/>
    <mergeCell ref="K38:L38"/>
    <mergeCell ref="M38:R38"/>
    <mergeCell ref="F30:I30"/>
    <mergeCell ref="J12:N12"/>
    <mergeCell ref="O12:Q13"/>
    <mergeCell ref="R12:T13"/>
    <mergeCell ref="J19:N22"/>
    <mergeCell ref="O19:Q22"/>
    <mergeCell ref="R19:T22"/>
    <mergeCell ref="B28:E28"/>
    <mergeCell ref="F28:I28"/>
    <mergeCell ref="J28:N28"/>
    <mergeCell ref="R23:T27"/>
    <mergeCell ref="O23:Q27"/>
    <mergeCell ref="J24:N27"/>
    <mergeCell ref="F10:I11"/>
    <mergeCell ref="J10:N11"/>
    <mergeCell ref="O10:Q11"/>
    <mergeCell ref="R10:T11"/>
    <mergeCell ref="B12:E13"/>
    <mergeCell ref="R14:T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J29:N29"/>
    <mergeCell ref="R29:T29"/>
    <mergeCell ref="F31:I32"/>
    <mergeCell ref="B30:E30"/>
    <mergeCell ref="R31:T32"/>
    <mergeCell ref="O31:Q32"/>
    <mergeCell ref="J30:N30"/>
    <mergeCell ref="J13:N13"/>
    <mergeCell ref="F23:I27"/>
    <mergeCell ref="J23:N23"/>
    <mergeCell ref="B19:E22"/>
    <mergeCell ref="O28:Q28"/>
    <mergeCell ref="O30:Q30"/>
    <mergeCell ref="R30:T30"/>
    <mergeCell ref="F29:I29"/>
    <mergeCell ref="B29:E29"/>
    <mergeCell ref="O29:Q29"/>
    <mergeCell ref="J14:N15"/>
    <mergeCell ref="F12:I13"/>
    <mergeCell ref="F35:I36"/>
    <mergeCell ref="B33:E34"/>
    <mergeCell ref="J31:N32"/>
    <mergeCell ref="B31:E32"/>
    <mergeCell ref="F19:I22"/>
    <mergeCell ref="B23:E27"/>
    <mergeCell ref="O14:Q15"/>
    <mergeCell ref="S70:T70"/>
    <mergeCell ref="S66:T66"/>
    <mergeCell ref="S67:T67"/>
    <mergeCell ref="I69:R69"/>
    <mergeCell ref="S68:T68"/>
    <mergeCell ref="S65:T65"/>
    <mergeCell ref="S69:T69"/>
    <mergeCell ref="I72:R72"/>
    <mergeCell ref="I70:R70"/>
    <mergeCell ref="E66:H66"/>
    <mergeCell ref="E64:H64"/>
    <mergeCell ref="I71:R71"/>
    <mergeCell ref="I68:R68"/>
    <mergeCell ref="E62:H62"/>
    <mergeCell ref="I62:R62"/>
    <mergeCell ref="E68:H68"/>
    <mergeCell ref="F14:I15"/>
    <mergeCell ref="R28:T28"/>
    <mergeCell ref="O33:Q34"/>
    <mergeCell ref="J33:N34"/>
    <mergeCell ref="R33:T34"/>
    <mergeCell ref="F33:I34"/>
    <mergeCell ref="B37:T37"/>
    <mergeCell ref="B35:E36"/>
    <mergeCell ref="R35:T36"/>
    <mergeCell ref="O35:Q36"/>
    <mergeCell ref="J35:N36"/>
    <mergeCell ref="S38:T38"/>
    <mergeCell ref="I61:R61"/>
    <mergeCell ref="E67:H67"/>
    <mergeCell ref="I67:R67"/>
    <mergeCell ref="B64:B74"/>
    <mergeCell ref="E53:H53"/>
    <mergeCell ref="I53:R53"/>
    <mergeCell ref="S53:T53"/>
    <mergeCell ref="B53:B63"/>
    <mergeCell ref="I54:R54"/>
    <mergeCell ref="E59:H59"/>
    <mergeCell ref="I56:R56"/>
    <mergeCell ref="S56:T56"/>
    <mergeCell ref="I60:R60"/>
    <mergeCell ref="E99:I99"/>
    <mergeCell ref="E95:I95"/>
    <mergeCell ref="S96:T96"/>
    <mergeCell ref="S98:T98"/>
    <mergeCell ref="S97:T97"/>
    <mergeCell ref="E94:I94"/>
    <mergeCell ref="E97:I97"/>
    <mergeCell ref="B91:B98"/>
    <mergeCell ref="J96:R96"/>
    <mergeCell ref="S91:T91"/>
    <mergeCell ref="S94:T94"/>
    <mergeCell ref="J95:R95"/>
    <mergeCell ref="C91:D98"/>
    <mergeCell ref="E75:H75"/>
    <mergeCell ref="I73:R73"/>
    <mergeCell ref="S73:T73"/>
    <mergeCell ref="B88:B90"/>
    <mergeCell ref="E93:I93"/>
    <mergeCell ref="J93:R93"/>
    <mergeCell ref="S81:T81"/>
    <mergeCell ref="E81:I81"/>
    <mergeCell ref="J81:R81"/>
    <mergeCell ref="E88:I88"/>
    <mergeCell ref="J88:R88"/>
    <mergeCell ref="S88:T88"/>
    <mergeCell ref="S92:T92"/>
    <mergeCell ref="S89:T89"/>
    <mergeCell ref="E79:I79"/>
    <mergeCell ref="J79:R79"/>
    <mergeCell ref="S79:T79"/>
    <mergeCell ref="C79:D79"/>
    <mergeCell ref="B80:B87"/>
    <mergeCell ref="E92:I92"/>
    <mergeCell ref="E89:I89"/>
    <mergeCell ref="J83:R83"/>
    <mergeCell ref="J89:R89"/>
    <mergeCell ref="J80:R80"/>
    <mergeCell ref="E85:I85"/>
    <mergeCell ref="S80:T80"/>
    <mergeCell ref="S85:T85"/>
    <mergeCell ref="E82:I82"/>
    <mergeCell ref="E87:I87"/>
    <mergeCell ref="S84:T84"/>
    <mergeCell ref="C88:D90"/>
    <mergeCell ref="S90:T90"/>
    <mergeCell ref="S86:T86"/>
    <mergeCell ref="E80:I80"/>
    <mergeCell ref="E90:I90"/>
    <mergeCell ref="J90:R90"/>
    <mergeCell ref="J86:R86"/>
    <mergeCell ref="S83:T83"/>
    <mergeCell ref="E84:I84"/>
    <mergeCell ref="J84:R84"/>
    <mergeCell ref="E83:I83"/>
    <mergeCell ref="E74:H74"/>
    <mergeCell ref="I75:R75"/>
    <mergeCell ref="S75:T75"/>
    <mergeCell ref="S76:T76"/>
    <mergeCell ref="S99:T99"/>
    <mergeCell ref="E96:I96"/>
    <mergeCell ref="G261:H261"/>
    <mergeCell ref="E261:F261"/>
    <mergeCell ref="K233:T233"/>
    <mergeCell ref="E207:F207"/>
    <mergeCell ref="C213:D213"/>
    <mergeCell ref="C234:D234"/>
    <mergeCell ref="E234:F234"/>
    <mergeCell ref="K232:T232"/>
    <mergeCell ref="C225:D225"/>
    <mergeCell ref="E225:F225"/>
    <mergeCell ref="C236:D236"/>
    <mergeCell ref="B137:T137"/>
    <mergeCell ref="G232:J232"/>
    <mergeCell ref="B242:T242"/>
    <mergeCell ref="C228:D228"/>
    <mergeCell ref="J204:L204"/>
    <mergeCell ref="C224:D224"/>
    <mergeCell ref="K241:T241"/>
    <mergeCell ref="G234:J234"/>
    <mergeCell ref="K234:T234"/>
    <mergeCell ref="C235:D235"/>
    <mergeCell ref="G233:J233"/>
    <mergeCell ref="K230:T230"/>
    <mergeCell ref="E229:F229"/>
    <mergeCell ref="D188:E188"/>
    <mergeCell ref="F188:I188"/>
    <mergeCell ref="E241:F241"/>
    <mergeCell ref="G241:J241"/>
    <mergeCell ref="E233:F233"/>
    <mergeCell ref="E235:F235"/>
    <mergeCell ref="G235:J235"/>
    <mergeCell ref="K235:T235"/>
    <mergeCell ref="K231:T231"/>
    <mergeCell ref="E231:F231"/>
    <mergeCell ref="K223:T223"/>
    <mergeCell ref="E224:F224"/>
    <mergeCell ref="C219:D219"/>
    <mergeCell ref="G221:J221"/>
    <mergeCell ref="K218:T218"/>
    <mergeCell ref="C202:L202"/>
    <mergeCell ref="E215:F215"/>
    <mergeCell ref="C214:D214"/>
    <mergeCell ref="K217:T217"/>
    <mergeCell ref="E219:F219"/>
    <mergeCell ref="B199:C199"/>
    <mergeCell ref="D199:E199"/>
    <mergeCell ref="F192:I192"/>
    <mergeCell ref="J192:T192"/>
    <mergeCell ref="K228:T228"/>
    <mergeCell ref="G223:J223"/>
    <mergeCell ref="G217:J217"/>
    <mergeCell ref="G222:J222"/>
    <mergeCell ref="K226:T226"/>
    <mergeCell ref="G215:J215"/>
    <mergeCell ref="G219:J219"/>
    <mergeCell ref="K216:T216"/>
    <mergeCell ref="C220:D220"/>
    <mergeCell ref="G214:J214"/>
    <mergeCell ref="E213:F213"/>
    <mergeCell ref="C217:D217"/>
    <mergeCell ref="G220:J220"/>
    <mergeCell ref="K222:T222"/>
    <mergeCell ref="E220:F220"/>
    <mergeCell ref="E217:F217"/>
    <mergeCell ref="K220:T220"/>
    <mergeCell ref="E222:F222"/>
    <mergeCell ref="G224:J224"/>
    <mergeCell ref="K224:T224"/>
    <mergeCell ref="E216:F216"/>
    <mergeCell ref="K219:T219"/>
    <mergeCell ref="F170:I170"/>
    <mergeCell ref="F171:I171"/>
    <mergeCell ref="J171:T171"/>
    <mergeCell ref="C210:F210"/>
    <mergeCell ref="B175:C175"/>
    <mergeCell ref="J178:T178"/>
    <mergeCell ref="D174:E174"/>
    <mergeCell ref="D176:E176"/>
    <mergeCell ref="F176:I176"/>
    <mergeCell ref="J176:T176"/>
    <mergeCell ref="F174:I174"/>
    <mergeCell ref="J174:T174"/>
    <mergeCell ref="B181:C181"/>
    <mergeCell ref="F198:I198"/>
    <mergeCell ref="J198:T198"/>
    <mergeCell ref="J186:T186"/>
    <mergeCell ref="D179:E179"/>
    <mergeCell ref="B184:C184"/>
    <mergeCell ref="D184:E184"/>
    <mergeCell ref="F184:I184"/>
    <mergeCell ref="B185:C185"/>
    <mergeCell ref="D185:E185"/>
    <mergeCell ref="D173:E173"/>
    <mergeCell ref="B182:C182"/>
    <mergeCell ref="D182:E182"/>
    <mergeCell ref="J182:T182"/>
    <mergeCell ref="B186:C186"/>
    <mergeCell ref="J187:T187"/>
    <mergeCell ref="J194:T194"/>
    <mergeCell ref="B197:C197"/>
    <mergeCell ref="B75:B77"/>
    <mergeCell ref="C75:D77"/>
    <mergeCell ref="E77:H77"/>
    <mergeCell ref="I77:R77"/>
    <mergeCell ref="S77:T77"/>
    <mergeCell ref="S110:T110"/>
    <mergeCell ref="S111:T111"/>
    <mergeCell ref="B109:T109"/>
    <mergeCell ref="B187:C187"/>
    <mergeCell ref="D187:E187"/>
    <mergeCell ref="F187:I187"/>
    <mergeCell ref="K135:R135"/>
    <mergeCell ref="B144:D144"/>
    <mergeCell ref="D125:J125"/>
    <mergeCell ref="K125:R125"/>
    <mergeCell ref="S125:T125"/>
    <mergeCell ref="J87:R87"/>
    <mergeCell ref="S87:T87"/>
    <mergeCell ref="C80:D87"/>
    <mergeCell ref="J82:R82"/>
    <mergeCell ref="E86:I86"/>
    <mergeCell ref="J85:R85"/>
    <mergeCell ref="S82:T82"/>
    <mergeCell ref="G112:R112"/>
    <mergeCell ref="B118:C118"/>
    <mergeCell ref="S118:T118"/>
    <mergeCell ref="D118:J118"/>
    <mergeCell ref="E144:F144"/>
    <mergeCell ref="B153:K153"/>
    <mergeCell ref="E149:F149"/>
    <mergeCell ref="B145:D145"/>
    <mergeCell ref="I154:K154"/>
    <mergeCell ref="F186:I186"/>
    <mergeCell ref="C207:D207"/>
    <mergeCell ref="K206:L206"/>
    <mergeCell ref="M203:T209"/>
    <mergeCell ref="B172:C172"/>
    <mergeCell ref="B164:C164"/>
    <mergeCell ref="J175:T175"/>
    <mergeCell ref="F169:I169"/>
    <mergeCell ref="F164:I164"/>
    <mergeCell ref="B152:T152"/>
    <mergeCell ref="E141:F141"/>
    <mergeCell ref="S134:T134"/>
    <mergeCell ref="K133:R133"/>
    <mergeCell ref="K134:R134"/>
    <mergeCell ref="B157:C157"/>
    <mergeCell ref="B158:C158"/>
    <mergeCell ref="J170:T170"/>
    <mergeCell ref="J169:T169"/>
    <mergeCell ref="D157:E157"/>
    <mergeCell ref="J157:K157"/>
    <mergeCell ref="G157:H157"/>
    <mergeCell ref="B159:K159"/>
    <mergeCell ref="B167:C167"/>
    <mergeCell ref="J161:T162"/>
    <mergeCell ref="D163:E163"/>
    <mergeCell ref="D168:E168"/>
    <mergeCell ref="D164:E164"/>
    <mergeCell ref="B192:C192"/>
    <mergeCell ref="D192:E192"/>
    <mergeCell ref="B169:C169"/>
    <mergeCell ref="B170:C170"/>
    <mergeCell ref="D170:E170"/>
    <mergeCell ref="K239:T239"/>
    <mergeCell ref="D186:E186"/>
    <mergeCell ref="D193:E193"/>
    <mergeCell ref="J195:T195"/>
    <mergeCell ref="B201:B222"/>
    <mergeCell ref="B180:C180"/>
    <mergeCell ref="D180:E180"/>
    <mergeCell ref="F180:I180"/>
    <mergeCell ref="J180:T180"/>
    <mergeCell ref="S115:T115"/>
    <mergeCell ref="G115:R115"/>
    <mergeCell ref="G113:R113"/>
    <mergeCell ref="S113:T113"/>
    <mergeCell ref="C203:E203"/>
    <mergeCell ref="C209:L209"/>
    <mergeCell ref="J172:T172"/>
    <mergeCell ref="J189:T189"/>
    <mergeCell ref="B190:C190"/>
    <mergeCell ref="C201:T201"/>
    <mergeCell ref="B163:C163"/>
    <mergeCell ref="J163:T163"/>
    <mergeCell ref="H203:I203"/>
    <mergeCell ref="D195:E195"/>
    <mergeCell ref="F195:I195"/>
    <mergeCell ref="J177:T177"/>
    <mergeCell ref="D190:E190"/>
    <mergeCell ref="F173:I173"/>
    <mergeCell ref="D175:E175"/>
    <mergeCell ref="M202:T202"/>
    <mergeCell ref="F203:G203"/>
    <mergeCell ref="D191:E191"/>
    <mergeCell ref="D198:E198"/>
    <mergeCell ref="D158:E158"/>
    <mergeCell ref="K118:R118"/>
    <mergeCell ref="D162:E162"/>
    <mergeCell ref="F175:I175"/>
    <mergeCell ref="S131:T131"/>
    <mergeCell ref="S132:T132"/>
    <mergeCell ref="D131:J131"/>
    <mergeCell ref="B161:E161"/>
    <mergeCell ref="E142:F142"/>
    <mergeCell ref="B312:F363"/>
    <mergeCell ref="S312:T365"/>
    <mergeCell ref="F190:I190"/>
    <mergeCell ref="J190:T190"/>
    <mergeCell ref="J191:T191"/>
    <mergeCell ref="F182:I182"/>
    <mergeCell ref="J185:T185"/>
    <mergeCell ref="F185:I185"/>
    <mergeCell ref="J184:T184"/>
    <mergeCell ref="F194:I194"/>
    <mergeCell ref="B176:C176"/>
    <mergeCell ref="B196:C196"/>
    <mergeCell ref="D196:E196"/>
    <mergeCell ref="F196:I196"/>
    <mergeCell ref="J196:T196"/>
    <mergeCell ref="B194:C194"/>
    <mergeCell ref="C238:D238"/>
    <mergeCell ref="E238:F238"/>
    <mergeCell ref="G238:J238"/>
    <mergeCell ref="K238:T238"/>
    <mergeCell ref="C239:D239"/>
    <mergeCell ref="E239:F239"/>
    <mergeCell ref="G239:J239"/>
    <mergeCell ref="B179:C179"/>
    <mergeCell ref="B148:D148"/>
    <mergeCell ref="B147:D147"/>
    <mergeCell ref="B114:E114"/>
    <mergeCell ref="B119:C119"/>
    <mergeCell ref="D119:J119"/>
    <mergeCell ref="K119:R119"/>
    <mergeCell ref="S119:T119"/>
    <mergeCell ref="B120:C120"/>
    <mergeCell ref="D120:J120"/>
    <mergeCell ref="K120:R120"/>
    <mergeCell ref="S120:T120"/>
    <mergeCell ref="B121:C121"/>
    <mergeCell ref="D121:J121"/>
    <mergeCell ref="K121:R121"/>
    <mergeCell ref="S121:T121"/>
    <mergeCell ref="B122:C122"/>
    <mergeCell ref="D122:J122"/>
    <mergeCell ref="K122:R122"/>
    <mergeCell ref="S122:T122"/>
    <mergeCell ref="E146:F148"/>
    <mergeCell ref="K146:K148"/>
    <mergeCell ref="S133:T133"/>
    <mergeCell ref="G114:R114"/>
    <mergeCell ref="S114:T114"/>
    <mergeCell ref="B115:E115"/>
    <mergeCell ref="B124:C124"/>
    <mergeCell ref="D124:J124"/>
    <mergeCell ref="K124:R124"/>
    <mergeCell ref="S124:T124"/>
    <mergeCell ref="B125:C125"/>
    <mergeCell ref="B171:C171"/>
  </mergeCells>
  <phoneticPr fontId="26"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79"/>
  <sheetViews>
    <sheetView topLeftCell="A4" zoomScale="70" zoomScaleNormal="70" workbookViewId="0">
      <selection activeCell="E51" sqref="E51"/>
    </sheetView>
  </sheetViews>
  <sheetFormatPr baseColWidth="10" defaultColWidth="10.85546875" defaultRowHeight="12.75" x14ac:dyDescent="0.2"/>
  <cols>
    <col min="1" max="1" width="4.5703125" style="34" customWidth="1"/>
    <col min="2" max="2" width="20.28515625" style="33" customWidth="1"/>
    <col min="3" max="3" width="10" style="34" customWidth="1"/>
    <col min="4" max="4" width="11.28515625" style="34" customWidth="1"/>
    <col min="5" max="5" width="11.42578125" style="34" customWidth="1"/>
    <col min="6" max="6" width="11.7109375" style="34" customWidth="1"/>
    <col min="7" max="7" width="15.42578125" style="34" customWidth="1"/>
    <col min="8" max="8" width="10.7109375" style="34" customWidth="1"/>
    <col min="9" max="10" width="19.42578125" style="34" customWidth="1"/>
    <col min="11" max="11" width="17.140625" style="34" customWidth="1"/>
    <col min="12" max="14" width="10.85546875" style="34"/>
    <col min="15" max="15" width="12.28515625" style="34" customWidth="1"/>
    <col min="16" max="16" width="10.85546875" style="34"/>
    <col min="17" max="17" width="13.7109375" style="34" customWidth="1"/>
    <col min="18" max="18" width="10.5703125" style="34" customWidth="1"/>
    <col min="19" max="19" width="17.28515625" style="34" customWidth="1"/>
    <col min="20" max="16384" width="10.85546875" style="34"/>
  </cols>
  <sheetData>
    <row r="1" spans="2:19" ht="15" thickBot="1" x14ac:dyDescent="0.25">
      <c r="K1" s="6"/>
      <c r="L1" s="6"/>
      <c r="M1" s="6"/>
      <c r="N1" s="6"/>
      <c r="O1" s="6"/>
      <c r="P1" s="6"/>
      <c r="Q1" s="6"/>
      <c r="R1" s="6"/>
      <c r="S1" s="6"/>
    </row>
    <row r="2" spans="2:19" ht="14.25" customHeight="1" x14ac:dyDescent="0.2">
      <c r="B2" s="777" t="s">
        <v>252</v>
      </c>
      <c r="C2" s="778"/>
      <c r="D2" s="778"/>
      <c r="E2" s="778"/>
      <c r="F2" s="778"/>
      <c r="G2" s="778"/>
      <c r="H2" s="778"/>
      <c r="I2" s="779"/>
      <c r="J2" s="287"/>
      <c r="K2" s="783" t="s">
        <v>252</v>
      </c>
      <c r="L2" s="784"/>
      <c r="M2" s="784"/>
      <c r="N2" s="784"/>
      <c r="O2" s="784"/>
      <c r="P2" s="784"/>
      <c r="Q2" s="784"/>
      <c r="R2" s="784"/>
      <c r="S2" s="785"/>
    </row>
    <row r="3" spans="2:19" ht="34.5" customHeight="1" x14ac:dyDescent="0.2">
      <c r="B3" s="780"/>
      <c r="C3" s="781"/>
      <c r="D3" s="781"/>
      <c r="E3" s="781"/>
      <c r="F3" s="781"/>
      <c r="G3" s="781"/>
      <c r="H3" s="781"/>
      <c r="I3" s="782"/>
      <c r="J3" s="287"/>
      <c r="K3" s="786"/>
      <c r="L3" s="787"/>
      <c r="M3" s="787"/>
      <c r="N3" s="787"/>
      <c r="O3" s="787"/>
      <c r="P3" s="787"/>
      <c r="Q3" s="787"/>
      <c r="R3" s="787"/>
      <c r="S3" s="788"/>
    </row>
    <row r="4" spans="2:19" ht="27.75" customHeight="1" x14ac:dyDescent="0.2">
      <c r="B4" s="789" t="s">
        <v>253</v>
      </c>
      <c r="C4" s="790"/>
      <c r="D4" s="790"/>
      <c r="E4" s="790"/>
      <c r="F4" s="791"/>
      <c r="G4" s="342" t="s">
        <v>490</v>
      </c>
      <c r="H4" s="343" t="s">
        <v>2</v>
      </c>
      <c r="I4" s="99" t="s">
        <v>0</v>
      </c>
      <c r="J4" s="288"/>
      <c r="K4" s="795" t="s">
        <v>253</v>
      </c>
      <c r="L4" s="796"/>
      <c r="M4" s="796"/>
      <c r="N4" s="796"/>
      <c r="O4" s="796"/>
      <c r="P4" s="797" t="s">
        <v>786</v>
      </c>
      <c r="Q4" s="797"/>
      <c r="R4" s="343" t="s">
        <v>0</v>
      </c>
      <c r="S4" s="129" t="s">
        <v>2</v>
      </c>
    </row>
    <row r="5" spans="2:19" ht="27.75" customHeight="1" x14ac:dyDescent="0.25">
      <c r="B5" s="792"/>
      <c r="C5" s="793"/>
      <c r="D5" s="793"/>
      <c r="E5" s="793"/>
      <c r="F5" s="794"/>
      <c r="G5" s="100" t="s">
        <v>513</v>
      </c>
      <c r="H5" s="137">
        <v>3</v>
      </c>
      <c r="I5" s="101" t="s">
        <v>254</v>
      </c>
      <c r="J5" s="289"/>
      <c r="K5" s="795"/>
      <c r="L5" s="796"/>
      <c r="M5" s="796"/>
      <c r="N5" s="796"/>
      <c r="O5" s="796"/>
      <c r="P5" s="798" t="s">
        <v>491</v>
      </c>
      <c r="Q5" s="798"/>
      <c r="R5" s="137" t="s">
        <v>255</v>
      </c>
      <c r="S5" s="128">
        <v>4</v>
      </c>
    </row>
    <row r="6" spans="2:19" ht="33.75" customHeight="1" x14ac:dyDescent="0.2">
      <c r="B6" s="808" t="s">
        <v>256</v>
      </c>
      <c r="C6" s="809"/>
      <c r="D6" s="809"/>
      <c r="E6" s="809"/>
      <c r="F6" s="809"/>
      <c r="G6" s="809"/>
      <c r="H6" s="810"/>
      <c r="I6" s="801"/>
      <c r="J6" s="288"/>
      <c r="K6" s="811" t="s">
        <v>257</v>
      </c>
      <c r="L6" s="812"/>
      <c r="M6" s="812"/>
      <c r="N6" s="812"/>
      <c r="O6" s="812"/>
      <c r="P6" s="812"/>
      <c r="Q6" s="812"/>
      <c r="R6" s="812"/>
      <c r="S6" s="803"/>
    </row>
    <row r="7" spans="2:19" ht="15" customHeight="1" x14ac:dyDescent="0.2">
      <c r="B7" s="813" t="s">
        <v>258</v>
      </c>
      <c r="C7" s="814"/>
      <c r="D7" s="816">
        <v>1</v>
      </c>
      <c r="E7" s="816">
        <v>2</v>
      </c>
      <c r="F7" s="816">
        <v>3</v>
      </c>
      <c r="G7" s="818" t="s">
        <v>259</v>
      </c>
      <c r="H7" s="800" t="s">
        <v>97</v>
      </c>
      <c r="I7" s="801"/>
      <c r="J7" s="288"/>
      <c r="K7" s="820" t="s">
        <v>787</v>
      </c>
      <c r="L7" s="799"/>
      <c r="M7" s="799" t="s">
        <v>901</v>
      </c>
      <c r="N7" s="799" t="s">
        <v>902</v>
      </c>
      <c r="O7" s="799" t="s">
        <v>903</v>
      </c>
      <c r="P7" s="799" t="s">
        <v>904</v>
      </c>
      <c r="Q7" s="799" t="s">
        <v>259</v>
      </c>
      <c r="R7" s="800" t="s">
        <v>97</v>
      </c>
      <c r="S7" s="801"/>
    </row>
    <row r="8" spans="2:19" ht="15.75" customHeight="1" x14ac:dyDescent="0.2">
      <c r="B8" s="811"/>
      <c r="C8" s="815"/>
      <c r="D8" s="817"/>
      <c r="E8" s="817"/>
      <c r="F8" s="817"/>
      <c r="G8" s="819"/>
      <c r="H8" s="802"/>
      <c r="I8" s="803"/>
      <c r="J8" s="288"/>
      <c r="K8" s="820"/>
      <c r="L8" s="799"/>
      <c r="M8" s="799"/>
      <c r="N8" s="799"/>
      <c r="O8" s="799"/>
      <c r="P8" s="799"/>
      <c r="Q8" s="799"/>
      <c r="R8" s="802"/>
      <c r="S8" s="803"/>
    </row>
    <row r="9" spans="2:19" ht="15.75" customHeight="1" thickBot="1" x14ac:dyDescent="0.3">
      <c r="B9" s="102">
        <v>3</v>
      </c>
      <c r="C9" s="103">
        <v>500</v>
      </c>
      <c r="D9" s="103">
        <v>3</v>
      </c>
      <c r="E9" s="103">
        <v>50</v>
      </c>
      <c r="F9" s="103"/>
      <c r="G9" s="103"/>
      <c r="H9" s="804"/>
      <c r="I9" s="805"/>
      <c r="J9" s="290"/>
      <c r="K9" s="102">
        <v>3</v>
      </c>
      <c r="L9" s="103">
        <v>500</v>
      </c>
      <c r="M9" s="298">
        <v>3</v>
      </c>
      <c r="N9" s="298"/>
      <c r="O9" s="298">
        <v>50</v>
      </c>
      <c r="P9" s="298"/>
      <c r="Q9" s="298"/>
      <c r="R9" s="806"/>
      <c r="S9" s="807"/>
    </row>
    <row r="10" spans="2:19" ht="20.25" customHeight="1" x14ac:dyDescent="0.2">
      <c r="B10" s="821" t="s">
        <v>260</v>
      </c>
      <c r="C10" s="104">
        <v>1</v>
      </c>
      <c r="D10" s="35">
        <v>227</v>
      </c>
      <c r="E10" s="35">
        <v>169</v>
      </c>
      <c r="F10" s="35">
        <v>11</v>
      </c>
      <c r="G10" s="105">
        <f t="shared" ref="G10:G40" si="0">+D10+E10+F10</f>
        <v>407</v>
      </c>
      <c r="H10" s="824"/>
      <c r="I10" s="825"/>
      <c r="J10" s="291"/>
      <c r="K10" s="835" t="s">
        <v>260</v>
      </c>
      <c r="L10" s="299">
        <v>1</v>
      </c>
      <c r="M10" s="300">
        <v>227</v>
      </c>
      <c r="N10" s="300">
        <v>169</v>
      </c>
      <c r="O10" s="300">
        <v>11</v>
      </c>
      <c r="P10" s="300">
        <v>0</v>
      </c>
      <c r="Q10" s="108">
        <f>SUM(M10:P10)</f>
        <v>407</v>
      </c>
      <c r="R10" s="826"/>
      <c r="S10" s="782"/>
    </row>
    <row r="11" spans="2:19" ht="16.5" customHeight="1" x14ac:dyDescent="0.2">
      <c r="B11" s="822"/>
      <c r="C11" s="106" t="s">
        <v>264</v>
      </c>
      <c r="D11" s="36">
        <f>+D10*0.4</f>
        <v>90.800000000000011</v>
      </c>
      <c r="E11" s="36">
        <f t="shared" ref="E11" si="1">+E10*0.4</f>
        <v>67.600000000000009</v>
      </c>
      <c r="F11" s="36">
        <v>4</v>
      </c>
      <c r="G11" s="36">
        <f t="shared" si="0"/>
        <v>162.40000000000003</v>
      </c>
      <c r="H11" s="827"/>
      <c r="I11" s="828"/>
      <c r="J11" s="291"/>
      <c r="K11" s="835"/>
      <c r="L11" s="301">
        <v>0.4</v>
      </c>
      <c r="M11" s="36">
        <f>M10*0.4</f>
        <v>90.800000000000011</v>
      </c>
      <c r="N11" s="36">
        <f>N10*0.4</f>
        <v>67.600000000000009</v>
      </c>
      <c r="O11" s="36">
        <v>5</v>
      </c>
      <c r="P11" s="36">
        <f>P10*0.4</f>
        <v>0</v>
      </c>
      <c r="Q11" s="84">
        <f>SUM(M11:P11)</f>
        <v>163.40000000000003</v>
      </c>
      <c r="R11" s="829"/>
      <c r="S11" s="830"/>
    </row>
    <row r="12" spans="2:19" ht="25.5" customHeight="1" thickBot="1" x14ac:dyDescent="0.25">
      <c r="B12" s="823"/>
      <c r="C12" s="107">
        <v>0.6</v>
      </c>
      <c r="D12" s="37">
        <f>+D10*0.6</f>
        <v>136.19999999999999</v>
      </c>
      <c r="E12" s="37">
        <f t="shared" ref="E12" si="2">+E10*0.6</f>
        <v>101.39999999999999</v>
      </c>
      <c r="F12" s="37">
        <v>7</v>
      </c>
      <c r="G12" s="37">
        <f t="shared" si="0"/>
        <v>244.59999999999997</v>
      </c>
      <c r="H12" s="831"/>
      <c r="I12" s="832"/>
      <c r="J12" s="291"/>
      <c r="K12" s="835"/>
      <c r="L12" s="302">
        <v>0.6</v>
      </c>
      <c r="M12" s="37">
        <f>M10</f>
        <v>227</v>
      </c>
      <c r="N12" s="37">
        <f>N10*0.6</f>
        <v>101.39999999999999</v>
      </c>
      <c r="O12" s="37">
        <v>6</v>
      </c>
      <c r="P12" s="37">
        <f>P10*0.6</f>
        <v>0</v>
      </c>
      <c r="Q12" s="303">
        <f>SUM(M12:P12)</f>
        <v>334.4</v>
      </c>
      <c r="R12" s="833"/>
      <c r="S12" s="834"/>
    </row>
    <row r="13" spans="2:19" x14ac:dyDescent="0.2">
      <c r="B13" s="821" t="s">
        <v>261</v>
      </c>
      <c r="C13" s="104" t="s">
        <v>259</v>
      </c>
      <c r="D13" s="35">
        <v>227</v>
      </c>
      <c r="E13" s="35">
        <v>169</v>
      </c>
      <c r="F13" s="35">
        <v>11</v>
      </c>
      <c r="G13" s="108">
        <f t="shared" si="0"/>
        <v>407</v>
      </c>
      <c r="H13" s="824"/>
      <c r="I13" s="825"/>
      <c r="J13" s="291"/>
      <c r="K13" s="821" t="s">
        <v>261</v>
      </c>
      <c r="L13" s="299" t="s">
        <v>259</v>
      </c>
      <c r="M13" s="300">
        <f>M10</f>
        <v>227</v>
      </c>
      <c r="N13" s="300">
        <f>N10</f>
        <v>169</v>
      </c>
      <c r="O13" s="300">
        <f>O10</f>
        <v>11</v>
      </c>
      <c r="P13" s="300">
        <f>P10</f>
        <v>0</v>
      </c>
      <c r="Q13" s="108">
        <f t="shared" ref="Q13:Q26" si="3">SUM(M13:P13)</f>
        <v>407</v>
      </c>
      <c r="R13" s="826"/>
      <c r="S13" s="782"/>
    </row>
    <row r="14" spans="2:19" x14ac:dyDescent="0.2">
      <c r="B14" s="822"/>
      <c r="C14" s="106" t="s">
        <v>264</v>
      </c>
      <c r="D14" s="36">
        <v>90</v>
      </c>
      <c r="E14" s="36">
        <v>65</v>
      </c>
      <c r="F14" s="36">
        <v>4</v>
      </c>
      <c r="G14" s="36">
        <f t="shared" si="0"/>
        <v>159</v>
      </c>
      <c r="H14" s="827"/>
      <c r="I14" s="828"/>
      <c r="J14" s="291"/>
      <c r="K14" s="822"/>
      <c r="L14" s="301">
        <v>0.4</v>
      </c>
      <c r="M14" s="36">
        <v>15</v>
      </c>
      <c r="N14" s="36">
        <v>0</v>
      </c>
      <c r="O14" s="36">
        <v>0</v>
      </c>
      <c r="P14" s="36">
        <v>0</v>
      </c>
      <c r="Q14" s="36">
        <f t="shared" si="3"/>
        <v>15</v>
      </c>
      <c r="R14" s="829"/>
      <c r="S14" s="830"/>
    </row>
    <row r="15" spans="2:19" ht="12.75" customHeight="1" thickBot="1" x14ac:dyDescent="0.25">
      <c r="B15" s="823"/>
      <c r="C15" s="107">
        <v>0.6</v>
      </c>
      <c r="D15" s="38">
        <v>136</v>
      </c>
      <c r="E15" s="38">
        <v>97</v>
      </c>
      <c r="F15" s="38">
        <v>7</v>
      </c>
      <c r="G15" s="38">
        <f t="shared" si="0"/>
        <v>240</v>
      </c>
      <c r="H15" s="831"/>
      <c r="I15" s="832"/>
      <c r="J15" s="291"/>
      <c r="K15" s="823"/>
      <c r="L15" s="302">
        <v>0.6</v>
      </c>
      <c r="M15" s="37">
        <v>0</v>
      </c>
      <c r="N15" s="37">
        <v>0</v>
      </c>
      <c r="O15" s="37">
        <v>0</v>
      </c>
      <c r="P15" s="37">
        <v>0</v>
      </c>
      <c r="Q15" s="37">
        <f t="shared" si="3"/>
        <v>0</v>
      </c>
      <c r="R15" s="833"/>
      <c r="S15" s="834"/>
    </row>
    <row r="16" spans="2:19" ht="15" customHeight="1" x14ac:dyDescent="0.2">
      <c r="B16" s="821" t="s">
        <v>262</v>
      </c>
      <c r="C16" s="104" t="s">
        <v>259</v>
      </c>
      <c r="D16" s="35">
        <v>227</v>
      </c>
      <c r="E16" s="35">
        <v>169</v>
      </c>
      <c r="F16" s="35">
        <v>11</v>
      </c>
      <c r="G16" s="105">
        <f t="shared" si="0"/>
        <v>407</v>
      </c>
      <c r="H16" s="824"/>
      <c r="I16" s="825"/>
      <c r="J16" s="291"/>
      <c r="K16" s="821" t="s">
        <v>263</v>
      </c>
      <c r="L16" s="299" t="s">
        <v>259</v>
      </c>
      <c r="M16" s="300">
        <f>M10</f>
        <v>227</v>
      </c>
      <c r="N16" s="300">
        <f>N10</f>
        <v>169</v>
      </c>
      <c r="O16" s="300">
        <f>O10</f>
        <v>11</v>
      </c>
      <c r="P16" s="300">
        <f>P10</f>
        <v>0</v>
      </c>
      <c r="Q16" s="108">
        <f t="shared" si="3"/>
        <v>407</v>
      </c>
      <c r="R16" s="826"/>
      <c r="S16" s="782"/>
    </row>
    <row r="17" spans="2:19" ht="15.75" customHeight="1" x14ac:dyDescent="0.2">
      <c r="B17" s="822"/>
      <c r="C17" s="106" t="s">
        <v>264</v>
      </c>
      <c r="D17" s="36">
        <v>91</v>
      </c>
      <c r="E17" s="36">
        <v>68</v>
      </c>
      <c r="F17" s="36">
        <v>4</v>
      </c>
      <c r="G17" s="36">
        <f t="shared" si="0"/>
        <v>163</v>
      </c>
      <c r="H17" s="827"/>
      <c r="I17" s="828"/>
      <c r="J17" s="291"/>
      <c r="K17" s="822"/>
      <c r="L17" s="301" t="s">
        <v>264</v>
      </c>
      <c r="M17" s="36">
        <v>91</v>
      </c>
      <c r="N17" s="36">
        <v>18</v>
      </c>
      <c r="O17" s="36">
        <v>5</v>
      </c>
      <c r="P17" s="36">
        <v>0</v>
      </c>
      <c r="Q17" s="36">
        <f t="shared" si="3"/>
        <v>114</v>
      </c>
      <c r="R17" s="829"/>
      <c r="S17" s="830"/>
    </row>
    <row r="18" spans="2:19" ht="23.25" customHeight="1" thickBot="1" x14ac:dyDescent="0.25">
      <c r="B18" s="823"/>
      <c r="C18" s="107">
        <v>0.6</v>
      </c>
      <c r="D18" s="36">
        <v>136</v>
      </c>
      <c r="E18" s="36">
        <v>101</v>
      </c>
      <c r="F18" s="36">
        <v>7</v>
      </c>
      <c r="G18" s="37">
        <f t="shared" si="0"/>
        <v>244</v>
      </c>
      <c r="H18" s="827"/>
      <c r="I18" s="828"/>
      <c r="J18" s="291"/>
      <c r="K18" s="823"/>
      <c r="L18" s="302">
        <v>0.6</v>
      </c>
      <c r="M18" s="37">
        <v>38</v>
      </c>
      <c r="N18" s="37">
        <v>0</v>
      </c>
      <c r="O18" s="37">
        <v>6</v>
      </c>
      <c r="P18" s="37">
        <v>0</v>
      </c>
      <c r="Q18" s="37">
        <f t="shared" si="3"/>
        <v>44</v>
      </c>
      <c r="R18" s="829"/>
      <c r="S18" s="830"/>
    </row>
    <row r="19" spans="2:19" ht="13.5" customHeight="1" x14ac:dyDescent="0.2">
      <c r="B19" s="821" t="s">
        <v>265</v>
      </c>
      <c r="C19" s="104" t="s">
        <v>259</v>
      </c>
      <c r="D19" s="35">
        <v>227</v>
      </c>
      <c r="E19" s="35">
        <v>169</v>
      </c>
      <c r="F19" s="35">
        <v>11</v>
      </c>
      <c r="G19" s="108">
        <f t="shared" si="0"/>
        <v>407</v>
      </c>
      <c r="H19" s="827"/>
      <c r="I19" s="828"/>
      <c r="J19" s="291"/>
      <c r="K19" s="821" t="s">
        <v>265</v>
      </c>
      <c r="L19" s="299" t="s">
        <v>259</v>
      </c>
      <c r="M19" s="300">
        <f>M10</f>
        <v>227</v>
      </c>
      <c r="N19" s="300">
        <f>N10</f>
        <v>169</v>
      </c>
      <c r="O19" s="300">
        <f>O10</f>
        <v>11</v>
      </c>
      <c r="P19" s="300">
        <f>P10</f>
        <v>0</v>
      </c>
      <c r="Q19" s="108">
        <f t="shared" si="3"/>
        <v>407</v>
      </c>
      <c r="R19" s="829"/>
      <c r="S19" s="830"/>
    </row>
    <row r="20" spans="2:19" ht="15" customHeight="1" x14ac:dyDescent="0.2">
      <c r="B20" s="822"/>
      <c r="C20" s="106" t="s">
        <v>264</v>
      </c>
      <c r="D20" s="36">
        <v>0</v>
      </c>
      <c r="E20" s="36">
        <v>0</v>
      </c>
      <c r="F20" s="36">
        <v>0</v>
      </c>
      <c r="G20" s="36">
        <f t="shared" si="0"/>
        <v>0</v>
      </c>
      <c r="H20" s="827"/>
      <c r="I20" s="828"/>
      <c r="J20" s="291"/>
      <c r="K20" s="822"/>
      <c r="L20" s="301" t="s">
        <v>264</v>
      </c>
      <c r="M20" s="36">
        <v>0</v>
      </c>
      <c r="N20" s="36">
        <f t="shared" ref="N20:P21" si="4">N11-N17</f>
        <v>49.600000000000009</v>
      </c>
      <c r="O20" s="85">
        <f t="shared" si="4"/>
        <v>0</v>
      </c>
      <c r="P20" s="36">
        <f t="shared" si="4"/>
        <v>0</v>
      </c>
      <c r="Q20" s="36">
        <f t="shared" si="3"/>
        <v>49.600000000000009</v>
      </c>
      <c r="R20" s="829"/>
      <c r="S20" s="830"/>
    </row>
    <row r="21" spans="2:19" ht="17.25" customHeight="1" thickBot="1" x14ac:dyDescent="0.25">
      <c r="B21" s="823"/>
      <c r="C21" s="107">
        <v>0.6</v>
      </c>
      <c r="D21" s="36">
        <v>0</v>
      </c>
      <c r="E21" s="36">
        <v>0</v>
      </c>
      <c r="F21" s="36">
        <v>0</v>
      </c>
      <c r="G21" s="36">
        <f t="shared" si="0"/>
        <v>0</v>
      </c>
      <c r="H21" s="827"/>
      <c r="I21" s="828"/>
      <c r="J21" s="291"/>
      <c r="K21" s="823"/>
      <c r="L21" s="302">
        <v>0.6</v>
      </c>
      <c r="M21" s="37">
        <f>M42</f>
        <v>47</v>
      </c>
      <c r="N21" s="37">
        <f t="shared" si="4"/>
        <v>101.39999999999999</v>
      </c>
      <c r="O21" s="37">
        <f t="shared" si="4"/>
        <v>0</v>
      </c>
      <c r="P21" s="37">
        <f t="shared" si="4"/>
        <v>0</v>
      </c>
      <c r="Q21" s="37">
        <f t="shared" si="3"/>
        <v>148.39999999999998</v>
      </c>
      <c r="R21" s="829"/>
      <c r="S21" s="830"/>
    </row>
    <row r="22" spans="2:19" ht="15.75" customHeight="1" x14ac:dyDescent="0.2">
      <c r="B22" s="821" t="s">
        <v>516</v>
      </c>
      <c r="C22" s="104" t="s">
        <v>259</v>
      </c>
      <c r="D22" s="35">
        <v>227</v>
      </c>
      <c r="E22" s="35">
        <v>169</v>
      </c>
      <c r="F22" s="35">
        <v>11</v>
      </c>
      <c r="G22" s="105">
        <f t="shared" si="0"/>
        <v>407</v>
      </c>
      <c r="H22" s="827"/>
      <c r="I22" s="828"/>
      <c r="J22" s="291"/>
      <c r="K22" s="821" t="s">
        <v>266</v>
      </c>
      <c r="L22" s="299" t="s">
        <v>259</v>
      </c>
      <c r="M22" s="300">
        <f>M10+5</f>
        <v>232</v>
      </c>
      <c r="N22" s="300">
        <f>N10</f>
        <v>169</v>
      </c>
      <c r="O22" s="300">
        <f>O10</f>
        <v>11</v>
      </c>
      <c r="P22" s="300">
        <f>P10</f>
        <v>0</v>
      </c>
      <c r="Q22" s="108">
        <f t="shared" si="3"/>
        <v>412</v>
      </c>
      <c r="R22" s="344"/>
      <c r="S22" s="345"/>
    </row>
    <row r="23" spans="2:19" x14ac:dyDescent="0.2">
      <c r="B23" s="822"/>
      <c r="C23" s="106" t="s">
        <v>264</v>
      </c>
      <c r="D23" s="36">
        <v>90</v>
      </c>
      <c r="E23" s="36">
        <v>66</v>
      </c>
      <c r="F23" s="36">
        <v>4</v>
      </c>
      <c r="G23" s="36">
        <f t="shared" si="0"/>
        <v>160</v>
      </c>
      <c r="H23" s="827"/>
      <c r="I23" s="828"/>
      <c r="J23" s="291"/>
      <c r="K23" s="822"/>
      <c r="L23" s="301" t="s">
        <v>264</v>
      </c>
      <c r="M23" s="36">
        <v>105</v>
      </c>
      <c r="N23" s="36">
        <v>18</v>
      </c>
      <c r="O23" s="36">
        <v>5</v>
      </c>
      <c r="P23" s="36">
        <v>0</v>
      </c>
      <c r="Q23" s="36">
        <f t="shared" si="3"/>
        <v>128</v>
      </c>
      <c r="R23" s="344"/>
      <c r="S23" s="345"/>
    </row>
    <row r="24" spans="2:19" ht="15" customHeight="1" thickBot="1" x14ac:dyDescent="0.25">
      <c r="B24" s="823"/>
      <c r="C24" s="107">
        <v>0.6</v>
      </c>
      <c r="D24" s="36">
        <v>135</v>
      </c>
      <c r="E24" s="36">
        <v>98</v>
      </c>
      <c r="F24" s="36">
        <v>7</v>
      </c>
      <c r="G24" s="36">
        <f t="shared" si="0"/>
        <v>240</v>
      </c>
      <c r="H24" s="827"/>
      <c r="I24" s="828"/>
      <c r="J24" s="291"/>
      <c r="K24" s="823"/>
      <c r="L24" s="302">
        <v>0.6</v>
      </c>
      <c r="M24" s="37">
        <v>158</v>
      </c>
      <c r="N24" s="37">
        <v>4</v>
      </c>
      <c r="O24" s="37">
        <v>6</v>
      </c>
      <c r="P24" s="37">
        <v>0</v>
      </c>
      <c r="Q24" s="37">
        <f t="shared" si="3"/>
        <v>168</v>
      </c>
      <c r="R24" s="344"/>
      <c r="S24" s="345"/>
    </row>
    <row r="25" spans="2:19" ht="15" customHeight="1" x14ac:dyDescent="0.2">
      <c r="B25" s="821" t="s">
        <v>267</v>
      </c>
      <c r="C25" s="104" t="s">
        <v>259</v>
      </c>
      <c r="D25" s="35">
        <v>227</v>
      </c>
      <c r="E25" s="35">
        <v>169</v>
      </c>
      <c r="F25" s="35">
        <v>11</v>
      </c>
      <c r="G25" s="105">
        <f t="shared" si="0"/>
        <v>407</v>
      </c>
      <c r="H25" s="827"/>
      <c r="I25" s="828"/>
      <c r="J25" s="291"/>
      <c r="K25" s="821" t="s">
        <v>788</v>
      </c>
      <c r="L25" s="299" t="s">
        <v>259</v>
      </c>
      <c r="M25" s="300">
        <f>M19</f>
        <v>227</v>
      </c>
      <c r="N25" s="300">
        <f>N19+4</f>
        <v>173</v>
      </c>
      <c r="O25" s="300">
        <f>O19</f>
        <v>11</v>
      </c>
      <c r="P25" s="300">
        <f>P19</f>
        <v>0</v>
      </c>
      <c r="Q25" s="108">
        <f t="shared" si="3"/>
        <v>411</v>
      </c>
      <c r="R25" s="829"/>
      <c r="S25" s="830"/>
    </row>
    <row r="26" spans="2:19" x14ac:dyDescent="0.2">
      <c r="B26" s="822"/>
      <c r="C26" s="106" t="s">
        <v>264</v>
      </c>
      <c r="D26" s="36">
        <v>1</v>
      </c>
      <c r="E26" s="36">
        <v>2</v>
      </c>
      <c r="F26" s="36">
        <v>0</v>
      </c>
      <c r="G26" s="36">
        <f t="shared" si="0"/>
        <v>3</v>
      </c>
      <c r="H26" s="827"/>
      <c r="I26" s="828"/>
      <c r="J26" s="291"/>
      <c r="K26" s="822"/>
      <c r="L26" s="301" t="s">
        <v>264</v>
      </c>
      <c r="M26" s="36">
        <v>91</v>
      </c>
      <c r="N26" s="36">
        <v>18</v>
      </c>
      <c r="O26" s="36">
        <v>5</v>
      </c>
      <c r="P26" s="36">
        <v>0</v>
      </c>
      <c r="Q26" s="36">
        <f t="shared" si="3"/>
        <v>114</v>
      </c>
      <c r="R26" s="829"/>
      <c r="S26" s="830"/>
    </row>
    <row r="27" spans="2:19" ht="18" customHeight="1" thickBot="1" x14ac:dyDescent="0.25">
      <c r="B27" s="823"/>
      <c r="C27" s="107">
        <v>0.6</v>
      </c>
      <c r="D27" s="36">
        <v>1</v>
      </c>
      <c r="E27" s="36">
        <v>3</v>
      </c>
      <c r="F27" s="36">
        <v>0</v>
      </c>
      <c r="G27" s="36">
        <f t="shared" si="0"/>
        <v>4</v>
      </c>
      <c r="H27" s="827"/>
      <c r="I27" s="828"/>
      <c r="J27" s="291"/>
      <c r="K27" s="823"/>
      <c r="L27" s="302">
        <v>0.6</v>
      </c>
      <c r="M27" s="37">
        <v>43</v>
      </c>
      <c r="N27" s="37">
        <v>4</v>
      </c>
      <c r="O27" s="37">
        <v>6</v>
      </c>
      <c r="P27" s="37">
        <v>0</v>
      </c>
      <c r="Q27" s="37">
        <f>SUM(M27:P27)</f>
        <v>53</v>
      </c>
      <c r="R27" s="829"/>
      <c r="S27" s="830"/>
    </row>
    <row r="28" spans="2:19" ht="15" customHeight="1" x14ac:dyDescent="0.2">
      <c r="B28" s="821" t="s">
        <v>517</v>
      </c>
      <c r="C28" s="104" t="s">
        <v>259</v>
      </c>
      <c r="D28" s="35">
        <v>227</v>
      </c>
      <c r="E28" s="35">
        <v>169</v>
      </c>
      <c r="F28" s="35">
        <v>11</v>
      </c>
      <c r="G28" s="105">
        <f t="shared" si="0"/>
        <v>407</v>
      </c>
      <c r="H28" s="827"/>
      <c r="I28" s="828"/>
      <c r="J28" s="291"/>
      <c r="K28" s="821" t="s">
        <v>789</v>
      </c>
      <c r="L28" s="299" t="s">
        <v>259</v>
      </c>
      <c r="M28" s="300">
        <f>M22</f>
        <v>232</v>
      </c>
      <c r="N28" s="300">
        <f>N22</f>
        <v>169</v>
      </c>
      <c r="O28" s="300">
        <f>O22</f>
        <v>11</v>
      </c>
      <c r="P28" s="300">
        <f>P22</f>
        <v>0</v>
      </c>
      <c r="Q28" s="108">
        <f t="shared" ref="Q28:Q32" si="5">SUM(M28:P28)</f>
        <v>412</v>
      </c>
      <c r="R28" s="829"/>
      <c r="S28" s="830"/>
    </row>
    <row r="29" spans="2:19" x14ac:dyDescent="0.2">
      <c r="B29" s="822"/>
      <c r="C29" s="106" t="s">
        <v>264</v>
      </c>
      <c r="D29" s="36">
        <v>4</v>
      </c>
      <c r="E29" s="36">
        <v>2</v>
      </c>
      <c r="F29" s="36">
        <v>0</v>
      </c>
      <c r="G29" s="36">
        <f t="shared" si="0"/>
        <v>6</v>
      </c>
      <c r="H29" s="827" t="s">
        <v>268</v>
      </c>
      <c r="I29" s="828"/>
      <c r="J29" s="291"/>
      <c r="K29" s="822"/>
      <c r="L29" s="301" t="s">
        <v>264</v>
      </c>
      <c r="M29" s="36">
        <v>1</v>
      </c>
      <c r="N29" s="36">
        <f>N23-N26</f>
        <v>0</v>
      </c>
      <c r="O29" s="36">
        <f>O23-O26</f>
        <v>0</v>
      </c>
      <c r="P29" s="36">
        <v>0</v>
      </c>
      <c r="Q29" s="36">
        <f t="shared" si="5"/>
        <v>1</v>
      </c>
      <c r="R29" s="829"/>
      <c r="S29" s="830"/>
    </row>
    <row r="30" spans="2:19" ht="15" customHeight="1" thickBot="1" x14ac:dyDescent="0.25">
      <c r="B30" s="823"/>
      <c r="C30" s="107" t="s">
        <v>514</v>
      </c>
      <c r="D30" s="37">
        <v>5</v>
      </c>
      <c r="E30" s="37">
        <v>4</v>
      </c>
      <c r="F30" s="37">
        <v>0</v>
      </c>
      <c r="G30" s="37">
        <f t="shared" si="0"/>
        <v>9</v>
      </c>
      <c r="H30" s="831"/>
      <c r="I30" s="832"/>
      <c r="J30" s="291"/>
      <c r="K30" s="823"/>
      <c r="L30" s="302">
        <v>0.6</v>
      </c>
      <c r="M30" s="37">
        <f>M24-M27</f>
        <v>115</v>
      </c>
      <c r="N30" s="37">
        <f>N24-N27</f>
        <v>0</v>
      </c>
      <c r="O30" s="37">
        <f>O24-O27</f>
        <v>0</v>
      </c>
      <c r="P30" s="37">
        <v>0</v>
      </c>
      <c r="Q30" s="37">
        <f t="shared" si="5"/>
        <v>115</v>
      </c>
      <c r="R30" s="829"/>
      <c r="S30" s="830"/>
    </row>
    <row r="31" spans="2:19" ht="15" customHeight="1" x14ac:dyDescent="0.2">
      <c r="B31" s="821" t="s">
        <v>269</v>
      </c>
      <c r="C31" s="104" t="s">
        <v>259</v>
      </c>
      <c r="D31" s="35">
        <v>227</v>
      </c>
      <c r="E31" s="35">
        <v>169</v>
      </c>
      <c r="F31" s="35">
        <v>11</v>
      </c>
      <c r="G31" s="105">
        <f t="shared" si="0"/>
        <v>407</v>
      </c>
      <c r="H31" s="824"/>
      <c r="I31" s="825"/>
      <c r="J31" s="291"/>
      <c r="K31" s="821" t="s">
        <v>270</v>
      </c>
      <c r="L31" s="299" t="s">
        <v>259</v>
      </c>
      <c r="M31" s="300">
        <f>M10</f>
        <v>227</v>
      </c>
      <c r="N31" s="300">
        <f>N10</f>
        <v>169</v>
      </c>
      <c r="O31" s="300">
        <f>O10</f>
        <v>11</v>
      </c>
      <c r="P31" s="300">
        <f>P10</f>
        <v>0</v>
      </c>
      <c r="Q31" s="108">
        <f t="shared" si="5"/>
        <v>407</v>
      </c>
      <c r="R31" s="829"/>
      <c r="S31" s="830"/>
    </row>
    <row r="32" spans="2:19" x14ac:dyDescent="0.2">
      <c r="B32" s="822"/>
      <c r="C32" s="106" t="s">
        <v>264</v>
      </c>
      <c r="D32" s="36">
        <v>90</v>
      </c>
      <c r="E32" s="36">
        <v>65</v>
      </c>
      <c r="F32" s="36">
        <v>4</v>
      </c>
      <c r="G32" s="36">
        <f t="shared" si="0"/>
        <v>159</v>
      </c>
      <c r="H32" s="827"/>
      <c r="I32" s="828"/>
      <c r="J32" s="291"/>
      <c r="K32" s="822"/>
      <c r="L32" s="301" t="s">
        <v>264</v>
      </c>
      <c r="M32" s="36">
        <v>1</v>
      </c>
      <c r="N32" s="36">
        <v>0</v>
      </c>
      <c r="O32" s="36">
        <f>O17-O26</f>
        <v>0</v>
      </c>
      <c r="P32" s="36">
        <v>0</v>
      </c>
      <c r="Q32" s="36">
        <f t="shared" si="5"/>
        <v>1</v>
      </c>
      <c r="R32" s="829"/>
      <c r="S32" s="830"/>
    </row>
    <row r="33" spans="2:19" ht="15.75" customHeight="1" thickBot="1" x14ac:dyDescent="0.25">
      <c r="B33" s="823"/>
      <c r="C33" s="107">
        <v>0.6</v>
      </c>
      <c r="D33" s="36">
        <v>135</v>
      </c>
      <c r="E33" s="36">
        <v>98</v>
      </c>
      <c r="F33" s="36">
        <v>7</v>
      </c>
      <c r="G33" s="36">
        <f t="shared" si="0"/>
        <v>240</v>
      </c>
      <c r="H33" s="827"/>
      <c r="I33" s="828"/>
      <c r="J33" s="291"/>
      <c r="K33" s="823"/>
      <c r="L33" s="302">
        <v>0.6</v>
      </c>
      <c r="M33" s="37">
        <v>0</v>
      </c>
      <c r="N33" s="37">
        <v>0</v>
      </c>
      <c r="O33" s="37">
        <f>O18-O27</f>
        <v>0</v>
      </c>
      <c r="P33" s="37">
        <v>0</v>
      </c>
      <c r="Q33" s="37">
        <f>SUM(M33:P33)</f>
        <v>0</v>
      </c>
      <c r="R33" s="829"/>
      <c r="S33" s="830"/>
    </row>
    <row r="34" spans="2:19" ht="15" customHeight="1" x14ac:dyDescent="0.2">
      <c r="B34" s="821" t="s">
        <v>518</v>
      </c>
      <c r="C34" s="104" t="s">
        <v>259</v>
      </c>
      <c r="D34" s="35">
        <v>227</v>
      </c>
      <c r="E34" s="35">
        <v>169</v>
      </c>
      <c r="F34" s="35">
        <v>11</v>
      </c>
      <c r="G34" s="105">
        <f t="shared" si="0"/>
        <v>407</v>
      </c>
      <c r="H34" s="827"/>
      <c r="I34" s="828"/>
      <c r="J34" s="291"/>
      <c r="K34" s="821" t="s">
        <v>271</v>
      </c>
      <c r="L34" s="299" t="s">
        <v>259</v>
      </c>
      <c r="M34" s="300">
        <v>240</v>
      </c>
      <c r="N34" s="300">
        <v>182</v>
      </c>
      <c r="O34" s="300">
        <f>O35+O36</f>
        <v>4</v>
      </c>
      <c r="P34" s="300">
        <v>0</v>
      </c>
      <c r="Q34" s="108">
        <f t="shared" ref="Q34:Q48" si="6">SUM(M34:P34)</f>
        <v>426</v>
      </c>
      <c r="R34" s="836" t="s">
        <v>286</v>
      </c>
      <c r="S34" s="837"/>
    </row>
    <row r="35" spans="2:19" x14ac:dyDescent="0.2">
      <c r="B35" s="822"/>
      <c r="C35" s="106" t="s">
        <v>264</v>
      </c>
      <c r="D35" s="36">
        <v>90</v>
      </c>
      <c r="E35" s="36">
        <v>64</v>
      </c>
      <c r="F35" s="36">
        <v>4</v>
      </c>
      <c r="G35" s="36">
        <f t="shared" si="0"/>
        <v>158</v>
      </c>
      <c r="H35" s="827"/>
      <c r="I35" s="828"/>
      <c r="J35" s="291"/>
      <c r="K35" s="822"/>
      <c r="L35" s="301" t="s">
        <v>264</v>
      </c>
      <c r="M35" s="36">
        <v>96</v>
      </c>
      <c r="N35" s="36">
        <v>75</v>
      </c>
      <c r="O35" s="36">
        <v>2</v>
      </c>
      <c r="P35" s="36">
        <v>1</v>
      </c>
      <c r="Q35" s="36">
        <f t="shared" si="6"/>
        <v>174</v>
      </c>
      <c r="R35" s="836"/>
      <c r="S35" s="837"/>
    </row>
    <row r="36" spans="2:19" ht="17.25" customHeight="1" thickBot="1" x14ac:dyDescent="0.25">
      <c r="B36" s="823"/>
      <c r="C36" s="107">
        <v>0.6</v>
      </c>
      <c r="D36" s="36">
        <v>134</v>
      </c>
      <c r="E36" s="36">
        <v>95</v>
      </c>
      <c r="F36" s="36">
        <v>6</v>
      </c>
      <c r="G36" s="36">
        <f t="shared" si="0"/>
        <v>235</v>
      </c>
      <c r="H36" s="827"/>
      <c r="I36" s="828"/>
      <c r="J36" s="291"/>
      <c r="K36" s="823"/>
      <c r="L36" s="302">
        <v>0.6</v>
      </c>
      <c r="M36" s="37">
        <v>144</v>
      </c>
      <c r="N36" s="37">
        <v>113</v>
      </c>
      <c r="O36" s="37">
        <v>2</v>
      </c>
      <c r="P36" s="37">
        <v>2</v>
      </c>
      <c r="Q36" s="37">
        <f t="shared" si="6"/>
        <v>261</v>
      </c>
      <c r="R36" s="836"/>
      <c r="S36" s="837"/>
    </row>
    <row r="37" spans="2:19" ht="13.5" customHeight="1" x14ac:dyDescent="0.2">
      <c r="B37" s="821" t="s">
        <v>272</v>
      </c>
      <c r="C37" s="104" t="s">
        <v>259</v>
      </c>
      <c r="D37" s="35">
        <v>227</v>
      </c>
      <c r="E37" s="35">
        <v>169</v>
      </c>
      <c r="F37" s="35">
        <v>11</v>
      </c>
      <c r="G37" s="105">
        <f t="shared" si="0"/>
        <v>407</v>
      </c>
      <c r="H37" s="827"/>
      <c r="I37" s="828"/>
      <c r="J37" s="291"/>
      <c r="K37" s="821" t="s">
        <v>273</v>
      </c>
      <c r="L37" s="299" t="s">
        <v>259</v>
      </c>
      <c r="M37" s="300">
        <v>171</v>
      </c>
      <c r="N37" s="300">
        <f>N38+N39</f>
        <v>99</v>
      </c>
      <c r="O37" s="300">
        <f>O38+O39</f>
        <v>2</v>
      </c>
      <c r="P37" s="300">
        <v>0</v>
      </c>
      <c r="Q37" s="108">
        <f t="shared" si="6"/>
        <v>272</v>
      </c>
      <c r="R37" s="836" t="s">
        <v>286</v>
      </c>
      <c r="S37" s="837"/>
    </row>
    <row r="38" spans="2:19" x14ac:dyDescent="0.2">
      <c r="B38" s="822"/>
      <c r="C38" s="106" t="s">
        <v>264</v>
      </c>
      <c r="D38" s="36">
        <v>0</v>
      </c>
      <c r="E38" s="36">
        <v>2</v>
      </c>
      <c r="F38" s="36">
        <v>0</v>
      </c>
      <c r="G38" s="36">
        <f t="shared" si="0"/>
        <v>2</v>
      </c>
      <c r="H38" s="827"/>
      <c r="I38" s="828"/>
      <c r="J38" s="291"/>
      <c r="K38" s="822"/>
      <c r="L38" s="301" t="s">
        <v>264</v>
      </c>
      <c r="M38" s="36">
        <v>68</v>
      </c>
      <c r="N38" s="36">
        <v>40</v>
      </c>
      <c r="O38" s="36">
        <v>0.8</v>
      </c>
      <c r="P38" s="36">
        <v>0</v>
      </c>
      <c r="Q38" s="36">
        <f t="shared" si="6"/>
        <v>108.8</v>
      </c>
      <c r="R38" s="836"/>
      <c r="S38" s="837"/>
    </row>
    <row r="39" spans="2:19" ht="14.25" customHeight="1" thickBot="1" x14ac:dyDescent="0.25">
      <c r="B39" s="823"/>
      <c r="C39" s="107">
        <v>0.6</v>
      </c>
      <c r="D39" s="36">
        <v>1</v>
      </c>
      <c r="E39" s="36">
        <v>2</v>
      </c>
      <c r="F39" s="36">
        <v>1</v>
      </c>
      <c r="G39" s="36">
        <f t="shared" si="0"/>
        <v>4</v>
      </c>
      <c r="H39" s="827"/>
      <c r="I39" s="828"/>
      <c r="J39" s="291"/>
      <c r="K39" s="823"/>
      <c r="L39" s="304">
        <v>0.6</v>
      </c>
      <c r="M39" s="37">
        <v>103</v>
      </c>
      <c r="N39" s="37">
        <v>59</v>
      </c>
      <c r="O39" s="37">
        <v>1.2</v>
      </c>
      <c r="P39" s="37">
        <v>0</v>
      </c>
      <c r="Q39" s="37">
        <f t="shared" si="6"/>
        <v>163.19999999999999</v>
      </c>
      <c r="R39" s="836"/>
      <c r="S39" s="837"/>
    </row>
    <row r="40" spans="2:19" ht="13.5" customHeight="1" x14ac:dyDescent="0.2">
      <c r="B40" s="821" t="s">
        <v>519</v>
      </c>
      <c r="C40" s="104" t="s">
        <v>259</v>
      </c>
      <c r="D40" s="35">
        <v>227</v>
      </c>
      <c r="E40" s="35">
        <v>169</v>
      </c>
      <c r="F40" s="35">
        <v>11</v>
      </c>
      <c r="G40" s="105">
        <f t="shared" si="0"/>
        <v>407</v>
      </c>
      <c r="H40" s="827"/>
      <c r="I40" s="828"/>
      <c r="J40" s="291"/>
      <c r="K40" s="821" t="s">
        <v>274</v>
      </c>
      <c r="L40" s="299" t="s">
        <v>259</v>
      </c>
      <c r="M40" s="300">
        <f>+M41+M42</f>
        <v>78</v>
      </c>
      <c r="N40" s="300">
        <f>N41+N42</f>
        <v>56</v>
      </c>
      <c r="O40" s="300">
        <f>O41+O42</f>
        <v>0</v>
      </c>
      <c r="P40" s="300">
        <v>0</v>
      </c>
      <c r="Q40" s="108">
        <f t="shared" si="6"/>
        <v>134</v>
      </c>
      <c r="R40" s="836" t="s">
        <v>286</v>
      </c>
      <c r="S40" s="837"/>
    </row>
    <row r="41" spans="2:19" x14ac:dyDescent="0.2">
      <c r="B41" s="822"/>
      <c r="C41" s="106" t="s">
        <v>264</v>
      </c>
      <c r="D41" s="36">
        <v>2</v>
      </c>
      <c r="E41" s="36">
        <v>2</v>
      </c>
      <c r="F41" s="36">
        <v>0</v>
      </c>
      <c r="G41" s="36">
        <v>0</v>
      </c>
      <c r="H41" s="827" t="s">
        <v>275</v>
      </c>
      <c r="I41" s="828"/>
      <c r="J41" s="291"/>
      <c r="K41" s="822"/>
      <c r="L41" s="301" t="s">
        <v>264</v>
      </c>
      <c r="M41" s="36">
        <v>31</v>
      </c>
      <c r="N41" s="36">
        <v>22</v>
      </c>
      <c r="O41" s="36">
        <v>0</v>
      </c>
      <c r="P41" s="36">
        <v>0</v>
      </c>
      <c r="Q41" s="36">
        <f t="shared" si="6"/>
        <v>53</v>
      </c>
      <c r="R41" s="836"/>
      <c r="S41" s="837"/>
    </row>
    <row r="42" spans="2:19" ht="17.25" customHeight="1" thickBot="1" x14ac:dyDescent="0.25">
      <c r="B42" s="841"/>
      <c r="C42" s="109">
        <v>0.6</v>
      </c>
      <c r="D42" s="37">
        <v>4</v>
      </c>
      <c r="E42" s="37">
        <v>3</v>
      </c>
      <c r="F42" s="37">
        <v>0</v>
      </c>
      <c r="G42" s="37">
        <f t="shared" ref="G42" si="7">+D42+E42+F42</f>
        <v>7</v>
      </c>
      <c r="H42" s="831"/>
      <c r="I42" s="832"/>
      <c r="J42" s="291"/>
      <c r="K42" s="823"/>
      <c r="L42" s="304">
        <v>0.6</v>
      </c>
      <c r="M42" s="37">
        <v>47</v>
      </c>
      <c r="N42" s="37">
        <v>34</v>
      </c>
      <c r="O42" s="37">
        <v>0</v>
      </c>
      <c r="P42" s="37">
        <v>0</v>
      </c>
      <c r="Q42" s="37">
        <f t="shared" si="6"/>
        <v>81</v>
      </c>
      <c r="R42" s="836"/>
      <c r="S42" s="837"/>
    </row>
    <row r="43" spans="2:19" ht="15" customHeight="1" x14ac:dyDescent="0.2">
      <c r="B43" s="34"/>
      <c r="K43" s="821" t="s">
        <v>276</v>
      </c>
      <c r="L43" s="299" t="s">
        <v>259</v>
      </c>
      <c r="M43" s="300">
        <v>97</v>
      </c>
      <c r="N43" s="300">
        <f>N44+N45</f>
        <v>39</v>
      </c>
      <c r="O43" s="300">
        <f>O44+O45</f>
        <v>3.2</v>
      </c>
      <c r="P43" s="300">
        <v>0</v>
      </c>
      <c r="Q43" s="108">
        <f t="shared" si="6"/>
        <v>139.19999999999999</v>
      </c>
      <c r="R43" s="836" t="s">
        <v>286</v>
      </c>
      <c r="S43" s="837"/>
    </row>
    <row r="44" spans="2:19" ht="15.75" customHeight="1" x14ac:dyDescent="0.2">
      <c r="B44" s="34"/>
      <c r="K44" s="822"/>
      <c r="L44" s="301" t="s">
        <v>264</v>
      </c>
      <c r="M44" s="36">
        <v>39</v>
      </c>
      <c r="N44" s="36">
        <v>16</v>
      </c>
      <c r="O44" s="36">
        <v>1.2</v>
      </c>
      <c r="P44" s="36">
        <v>1</v>
      </c>
      <c r="Q44" s="36">
        <f t="shared" si="6"/>
        <v>57.2</v>
      </c>
      <c r="R44" s="836"/>
      <c r="S44" s="837"/>
    </row>
    <row r="45" spans="2:19" ht="27" customHeight="1" thickBot="1" x14ac:dyDescent="0.25">
      <c r="B45" s="838"/>
      <c r="C45" s="838"/>
      <c r="D45" s="838"/>
      <c r="E45" s="838"/>
      <c r="F45" s="838"/>
      <c r="G45" s="838"/>
      <c r="H45" s="838"/>
      <c r="I45" s="838"/>
      <c r="J45" s="346"/>
      <c r="K45" s="823"/>
      <c r="L45" s="304">
        <v>0.6</v>
      </c>
      <c r="M45" s="37">
        <v>58</v>
      </c>
      <c r="N45" s="37">
        <v>23</v>
      </c>
      <c r="O45" s="37">
        <v>2</v>
      </c>
      <c r="P45" s="37">
        <v>2</v>
      </c>
      <c r="Q45" s="37">
        <f t="shared" si="6"/>
        <v>85</v>
      </c>
      <c r="R45" s="836"/>
      <c r="S45" s="837"/>
    </row>
    <row r="46" spans="2:19" x14ac:dyDescent="0.2">
      <c r="K46" s="821" t="s">
        <v>790</v>
      </c>
      <c r="L46" s="299" t="s">
        <v>259</v>
      </c>
      <c r="M46" s="300">
        <v>231</v>
      </c>
      <c r="N46" s="300">
        <f>N47+N48</f>
        <v>157</v>
      </c>
      <c r="O46" s="300">
        <f>O47+O48</f>
        <v>12</v>
      </c>
      <c r="P46" s="300">
        <f>P10</f>
        <v>0</v>
      </c>
      <c r="Q46" s="108">
        <f t="shared" si="6"/>
        <v>400</v>
      </c>
      <c r="R46" s="836" t="s">
        <v>286</v>
      </c>
      <c r="S46" s="837"/>
    </row>
    <row r="47" spans="2:19" x14ac:dyDescent="0.2">
      <c r="K47" s="822"/>
      <c r="L47" s="301" t="s">
        <v>264</v>
      </c>
      <c r="M47" s="36">
        <v>92</v>
      </c>
      <c r="N47" s="36">
        <v>63</v>
      </c>
      <c r="O47" s="36">
        <v>5</v>
      </c>
      <c r="P47" s="36">
        <v>0</v>
      </c>
      <c r="Q47" s="36">
        <f t="shared" si="6"/>
        <v>160</v>
      </c>
      <c r="R47" s="839"/>
      <c r="S47" s="840"/>
    </row>
    <row r="48" spans="2:19" ht="24.75" customHeight="1" thickBot="1" x14ac:dyDescent="0.25">
      <c r="K48" s="823"/>
      <c r="L48" s="304">
        <v>0.6</v>
      </c>
      <c r="M48" s="37">
        <v>139</v>
      </c>
      <c r="N48" s="37">
        <v>94</v>
      </c>
      <c r="O48" s="37">
        <v>7</v>
      </c>
      <c r="P48" s="37">
        <v>0</v>
      </c>
      <c r="Q48" s="37">
        <f t="shared" si="6"/>
        <v>240</v>
      </c>
      <c r="R48" s="836"/>
      <c r="S48" s="837"/>
    </row>
    <row r="49" spans="11:19" ht="45.75" customHeight="1" x14ac:dyDescent="0.2">
      <c r="K49" s="821" t="s">
        <v>277</v>
      </c>
      <c r="L49" s="299" t="s">
        <v>259</v>
      </c>
      <c r="M49" s="300">
        <v>346</v>
      </c>
      <c r="N49" s="300">
        <f>N50+N51</f>
        <v>194</v>
      </c>
      <c r="O49" s="300">
        <f>O50+O51</f>
        <v>5</v>
      </c>
      <c r="P49" s="300">
        <f>P37+P40+P43</f>
        <v>0</v>
      </c>
      <c r="Q49" s="108">
        <f t="shared" ref="Q49:Q54" si="8">SUM(M49:P49)</f>
        <v>545</v>
      </c>
      <c r="R49" s="836" t="s">
        <v>286</v>
      </c>
      <c r="S49" s="837"/>
    </row>
    <row r="50" spans="11:19" x14ac:dyDescent="0.2">
      <c r="K50" s="822"/>
      <c r="L50" s="301" t="s">
        <v>264</v>
      </c>
      <c r="M50" s="36">
        <v>138</v>
      </c>
      <c r="N50" s="36">
        <v>78</v>
      </c>
      <c r="O50" s="36">
        <v>2</v>
      </c>
      <c r="P50" s="36">
        <v>2</v>
      </c>
      <c r="Q50" s="36">
        <f t="shared" si="8"/>
        <v>220</v>
      </c>
      <c r="R50" s="836"/>
      <c r="S50" s="837"/>
    </row>
    <row r="51" spans="11:19" ht="27" customHeight="1" thickBot="1" x14ac:dyDescent="0.25">
      <c r="K51" s="823"/>
      <c r="L51" s="304">
        <v>0.6</v>
      </c>
      <c r="M51" s="37">
        <v>208</v>
      </c>
      <c r="N51" s="37">
        <v>116</v>
      </c>
      <c r="O51" s="37">
        <v>3</v>
      </c>
      <c r="P51" s="37">
        <f>P39+P42+P45</f>
        <v>2</v>
      </c>
      <c r="Q51" s="37">
        <f t="shared" si="8"/>
        <v>329</v>
      </c>
      <c r="R51" s="836"/>
      <c r="S51" s="837"/>
    </row>
    <row r="52" spans="11:19" x14ac:dyDescent="0.2">
      <c r="K52" s="821" t="s">
        <v>278</v>
      </c>
      <c r="L52" s="299" t="s">
        <v>259</v>
      </c>
      <c r="M52" s="300">
        <f>M37+M40+M43</f>
        <v>346</v>
      </c>
      <c r="N52" s="300">
        <f>N10</f>
        <v>169</v>
      </c>
      <c r="O52" s="300">
        <f>O10</f>
        <v>11</v>
      </c>
      <c r="P52" s="300">
        <f>P10</f>
        <v>0</v>
      </c>
      <c r="Q52" s="108">
        <f t="shared" si="8"/>
        <v>526</v>
      </c>
      <c r="R52" s="836" t="s">
        <v>286</v>
      </c>
      <c r="S52" s="837"/>
    </row>
    <row r="53" spans="11:19" x14ac:dyDescent="0.2">
      <c r="K53" s="822"/>
      <c r="L53" s="301" t="s">
        <v>264</v>
      </c>
      <c r="M53" s="38">
        <v>0</v>
      </c>
      <c r="N53" s="36">
        <v>0</v>
      </c>
      <c r="O53" s="36">
        <v>0</v>
      </c>
      <c r="P53" s="36">
        <v>0</v>
      </c>
      <c r="Q53" s="36">
        <f t="shared" si="8"/>
        <v>0</v>
      </c>
      <c r="R53" s="829"/>
      <c r="S53" s="830"/>
    </row>
    <row r="54" spans="11:19" ht="21" customHeight="1" thickBot="1" x14ac:dyDescent="0.25">
      <c r="K54" s="841"/>
      <c r="L54" s="305">
        <v>0.6</v>
      </c>
      <c r="M54" s="37">
        <v>0</v>
      </c>
      <c r="N54" s="37">
        <v>0</v>
      </c>
      <c r="O54" s="37">
        <v>0</v>
      </c>
      <c r="P54" s="37">
        <v>0</v>
      </c>
      <c r="Q54" s="37">
        <f t="shared" si="8"/>
        <v>0</v>
      </c>
      <c r="R54" s="833"/>
      <c r="S54" s="834"/>
    </row>
    <row r="55" spans="11:19" ht="15.75" customHeight="1" x14ac:dyDescent="0.2"/>
    <row r="57" spans="11:19" ht="12.75" customHeight="1" x14ac:dyDescent="0.2"/>
    <row r="60" spans="11:19" ht="12.75" customHeight="1" x14ac:dyDescent="0.2"/>
    <row r="63" spans="11:19" ht="12.75" customHeight="1" x14ac:dyDescent="0.2"/>
    <row r="66" ht="12.75" customHeight="1" x14ac:dyDescent="0.2"/>
    <row r="67" ht="15.75" customHeight="1" x14ac:dyDescent="0.2"/>
    <row r="68" ht="15.75" customHeight="1" x14ac:dyDescent="0.2"/>
    <row r="69" ht="12.75" customHeight="1" x14ac:dyDescent="0.2"/>
    <row r="70" ht="15.75" customHeight="1" x14ac:dyDescent="0.2"/>
    <row r="71" ht="15.75" customHeight="1" x14ac:dyDescent="0.2"/>
    <row r="72" ht="12.75" customHeight="1" x14ac:dyDescent="0.2"/>
    <row r="73" ht="15.75" customHeight="1" x14ac:dyDescent="0.2"/>
    <row r="74" ht="15.75" customHeight="1" x14ac:dyDescent="0.2"/>
    <row r="76" ht="15.75" customHeight="1" x14ac:dyDescent="0.2"/>
    <row r="77" ht="15.75" customHeight="1" x14ac:dyDescent="0.2"/>
    <row r="78" ht="19.5" customHeight="1" x14ac:dyDescent="0.2"/>
    <row r="79" ht="65.25" customHeight="1" x14ac:dyDescent="0.2"/>
  </sheetData>
  <mergeCells count="125">
    <mergeCell ref="K49:K51"/>
    <mergeCell ref="R49:S49"/>
    <mergeCell ref="R50:S50"/>
    <mergeCell ref="R51:S51"/>
    <mergeCell ref="K52:K54"/>
    <mergeCell ref="R52:S52"/>
    <mergeCell ref="R53:S53"/>
    <mergeCell ref="R54:S54"/>
    <mergeCell ref="K43:K45"/>
    <mergeCell ref="R43:S43"/>
    <mergeCell ref="R44:S44"/>
    <mergeCell ref="B45:I45"/>
    <mergeCell ref="R45:S45"/>
    <mergeCell ref="K46:K48"/>
    <mergeCell ref="R46:S46"/>
    <mergeCell ref="R47:S47"/>
    <mergeCell ref="R48:S48"/>
    <mergeCell ref="B40:B42"/>
    <mergeCell ref="H40:I40"/>
    <mergeCell ref="K40:K42"/>
    <mergeCell ref="R40:S40"/>
    <mergeCell ref="H41:I41"/>
    <mergeCell ref="R41:S41"/>
    <mergeCell ref="H42:I42"/>
    <mergeCell ref="R42:S42"/>
    <mergeCell ref="B31:B33"/>
    <mergeCell ref="H31:I31"/>
    <mergeCell ref="K31:K33"/>
    <mergeCell ref="R31:S31"/>
    <mergeCell ref="H32:I32"/>
    <mergeCell ref="R32:S32"/>
    <mergeCell ref="H33:I33"/>
    <mergeCell ref="B37:B39"/>
    <mergeCell ref="H37:I37"/>
    <mergeCell ref="K37:K39"/>
    <mergeCell ref="R37:S37"/>
    <mergeCell ref="H38:I38"/>
    <mergeCell ref="R38:S38"/>
    <mergeCell ref="H39:I39"/>
    <mergeCell ref="R39:S39"/>
    <mergeCell ref="R33:S33"/>
    <mergeCell ref="B34:B36"/>
    <mergeCell ref="H34:I34"/>
    <mergeCell ref="K34:K36"/>
    <mergeCell ref="R34:S34"/>
    <mergeCell ref="H35:I35"/>
    <mergeCell ref="R35:S35"/>
    <mergeCell ref="H36:I36"/>
    <mergeCell ref="R36:S36"/>
    <mergeCell ref="R25:S25"/>
    <mergeCell ref="H26:I26"/>
    <mergeCell ref="R26:S26"/>
    <mergeCell ref="H27:I27"/>
    <mergeCell ref="R27:S27"/>
    <mergeCell ref="B28:B30"/>
    <mergeCell ref="H28:I28"/>
    <mergeCell ref="K28:K30"/>
    <mergeCell ref="R28:S28"/>
    <mergeCell ref="H29:I29"/>
    <mergeCell ref="R29:S29"/>
    <mergeCell ref="H30:I30"/>
    <mergeCell ref="R30:S30"/>
    <mergeCell ref="B22:B24"/>
    <mergeCell ref="H22:I22"/>
    <mergeCell ref="K22:K24"/>
    <mergeCell ref="H23:I23"/>
    <mergeCell ref="H24:I24"/>
    <mergeCell ref="B25:B27"/>
    <mergeCell ref="H25:I25"/>
    <mergeCell ref="K25:K27"/>
    <mergeCell ref="B19:B21"/>
    <mergeCell ref="H19:I19"/>
    <mergeCell ref="K19:K21"/>
    <mergeCell ref="R19:S19"/>
    <mergeCell ref="H20:I20"/>
    <mergeCell ref="R20:S20"/>
    <mergeCell ref="H21:I21"/>
    <mergeCell ref="R21:S21"/>
    <mergeCell ref="B16:B18"/>
    <mergeCell ref="H16:I16"/>
    <mergeCell ref="K16:K18"/>
    <mergeCell ref="R16:S16"/>
    <mergeCell ref="H17:I17"/>
    <mergeCell ref="R17:S17"/>
    <mergeCell ref="H18:I18"/>
    <mergeCell ref="R18:S18"/>
    <mergeCell ref="B13:B15"/>
    <mergeCell ref="H13:I13"/>
    <mergeCell ref="K13:K15"/>
    <mergeCell ref="R13:S13"/>
    <mergeCell ref="H14:I14"/>
    <mergeCell ref="R14:S14"/>
    <mergeCell ref="H15:I15"/>
    <mergeCell ref="R15:S15"/>
    <mergeCell ref="B10:B12"/>
    <mergeCell ref="H10:I10"/>
    <mergeCell ref="K10:K12"/>
    <mergeCell ref="R10:S10"/>
    <mergeCell ref="H11:I11"/>
    <mergeCell ref="R11:S11"/>
    <mergeCell ref="H12:I12"/>
    <mergeCell ref="R12:S12"/>
    <mergeCell ref="H9:I9"/>
    <mergeCell ref="R9:S9"/>
    <mergeCell ref="B6:I6"/>
    <mergeCell ref="K6:S6"/>
    <mergeCell ref="B7:C8"/>
    <mergeCell ref="D7:D8"/>
    <mergeCell ref="E7:E8"/>
    <mergeCell ref="F7:F8"/>
    <mergeCell ref="G7:G8"/>
    <mergeCell ref="H7:I8"/>
    <mergeCell ref="K7:L8"/>
    <mergeCell ref="M7:M8"/>
    <mergeCell ref="B2:I3"/>
    <mergeCell ref="K2:S3"/>
    <mergeCell ref="B4:F5"/>
    <mergeCell ref="K4:O5"/>
    <mergeCell ref="P4:Q4"/>
    <mergeCell ref="P5:Q5"/>
    <mergeCell ref="N7:N8"/>
    <mergeCell ref="O7:O8"/>
    <mergeCell ref="P7:P8"/>
    <mergeCell ref="Q7:Q8"/>
    <mergeCell ref="R7:S8"/>
  </mergeCells>
  <conditionalFormatting sqref="D29:F30 D32:F33 D35:F36 D41:F42 D14:F15 D38:F39 D10:F12 D20:F21 H10:H35 H37:H42 D23:F24 D26:F27 D17:F18">
    <cfRule type="cellIs" dxfId="101" priority="92" operator="lessThan">
      <formula>0</formula>
    </cfRule>
  </conditionalFormatting>
  <conditionalFormatting sqref="G13">
    <cfRule type="cellIs" dxfId="100" priority="90" operator="lessThan">
      <formula>0</formula>
    </cfRule>
  </conditionalFormatting>
  <conditionalFormatting sqref="G16">
    <cfRule type="cellIs" dxfId="99" priority="89" operator="lessThan">
      <formula>0</formula>
    </cfRule>
  </conditionalFormatting>
  <conditionalFormatting sqref="G19">
    <cfRule type="cellIs" dxfId="98" priority="88" operator="lessThan">
      <formula>0</formula>
    </cfRule>
  </conditionalFormatting>
  <conditionalFormatting sqref="H36">
    <cfRule type="cellIs" dxfId="97" priority="87" operator="lessThan">
      <formula>0</formula>
    </cfRule>
  </conditionalFormatting>
  <conditionalFormatting sqref="G17:G18 G23:G24 G29:G30 G32:G33 G35:G36 G41:G42 G14:G15 G26:G27 G38:G39 G10:G12 G20:G21">
    <cfRule type="cellIs" dxfId="96" priority="91" operator="lessThan">
      <formula>0</formula>
    </cfRule>
  </conditionalFormatting>
  <conditionalFormatting sqref="D16:F16">
    <cfRule type="cellIs" dxfId="95" priority="86" operator="lessThan">
      <formula>0</formula>
    </cfRule>
  </conditionalFormatting>
  <conditionalFormatting sqref="D19:F19">
    <cfRule type="cellIs" dxfId="94" priority="85" operator="lessThan">
      <formula>0</formula>
    </cfRule>
  </conditionalFormatting>
  <conditionalFormatting sqref="D22:F22">
    <cfRule type="cellIs" dxfId="93" priority="84" operator="lessThan">
      <formula>0</formula>
    </cfRule>
  </conditionalFormatting>
  <conditionalFormatting sqref="D25:F25">
    <cfRule type="cellIs" dxfId="92" priority="83" operator="lessThan">
      <formula>0</formula>
    </cfRule>
  </conditionalFormatting>
  <conditionalFormatting sqref="D28:F28">
    <cfRule type="cellIs" dxfId="91" priority="82" operator="lessThan">
      <formula>0</formula>
    </cfRule>
  </conditionalFormatting>
  <conditionalFormatting sqref="D31:F31">
    <cfRule type="cellIs" dxfId="90" priority="81" operator="lessThan">
      <formula>0</formula>
    </cfRule>
  </conditionalFormatting>
  <conditionalFormatting sqref="D34:F34">
    <cfRule type="cellIs" dxfId="89" priority="80" operator="lessThan">
      <formula>0</formula>
    </cfRule>
  </conditionalFormatting>
  <conditionalFormatting sqref="D37:F37">
    <cfRule type="cellIs" dxfId="88" priority="79" operator="lessThan">
      <formula>0</formula>
    </cfRule>
  </conditionalFormatting>
  <conditionalFormatting sqref="D40:F40">
    <cfRule type="cellIs" dxfId="87" priority="78" operator="lessThan">
      <formula>0</formula>
    </cfRule>
  </conditionalFormatting>
  <conditionalFormatting sqref="D13:F13">
    <cfRule type="cellIs" dxfId="86" priority="77" operator="lessThan">
      <formula>0</formula>
    </cfRule>
  </conditionalFormatting>
  <conditionalFormatting sqref="G22">
    <cfRule type="cellIs" dxfId="85" priority="76" operator="lessThan">
      <formula>0</formula>
    </cfRule>
  </conditionalFormatting>
  <conditionalFormatting sqref="G25">
    <cfRule type="cellIs" dxfId="84" priority="75" operator="lessThan">
      <formula>0</formula>
    </cfRule>
  </conditionalFormatting>
  <conditionalFormatting sqref="G28">
    <cfRule type="cellIs" dxfId="83" priority="74" operator="lessThan">
      <formula>0</formula>
    </cfRule>
  </conditionalFormatting>
  <conditionalFormatting sqref="G31">
    <cfRule type="cellIs" dxfId="82" priority="73" operator="lessThan">
      <formula>0</formula>
    </cfRule>
  </conditionalFormatting>
  <conditionalFormatting sqref="G34">
    <cfRule type="cellIs" dxfId="81" priority="72" operator="lessThan">
      <formula>0</formula>
    </cfRule>
  </conditionalFormatting>
  <conditionalFormatting sqref="G37">
    <cfRule type="cellIs" dxfId="80" priority="71" operator="lessThan">
      <formula>0</formula>
    </cfRule>
  </conditionalFormatting>
  <conditionalFormatting sqref="G40">
    <cfRule type="cellIs" dxfId="79" priority="70" operator="lessThan">
      <formula>0</formula>
    </cfRule>
  </conditionalFormatting>
  <conditionalFormatting sqref="R10:R33 R53:R54">
    <cfRule type="cellIs" dxfId="78" priority="69" operator="lessThan">
      <formula>0</formula>
    </cfRule>
  </conditionalFormatting>
  <conditionalFormatting sqref="P10:Q10 M10:N12 O11:Q12">
    <cfRule type="cellIs" dxfId="77" priority="68" operator="lessThan">
      <formula>0</formula>
    </cfRule>
  </conditionalFormatting>
  <conditionalFormatting sqref="O10">
    <cfRule type="cellIs" dxfId="76" priority="67" operator="lessThan">
      <formula>0</formula>
    </cfRule>
  </conditionalFormatting>
  <conditionalFormatting sqref="M14:N15 P14:Q15 Q13">
    <cfRule type="cellIs" dxfId="75" priority="66" operator="lessThan">
      <formula>0</formula>
    </cfRule>
  </conditionalFormatting>
  <conditionalFormatting sqref="O14:O15">
    <cfRule type="cellIs" dxfId="74" priority="65" operator="lessThan">
      <formula>0</formula>
    </cfRule>
  </conditionalFormatting>
  <conditionalFormatting sqref="M13:N13 P13">
    <cfRule type="cellIs" dxfId="73" priority="64" operator="lessThan">
      <formula>0</formula>
    </cfRule>
  </conditionalFormatting>
  <conditionalFormatting sqref="O13">
    <cfRule type="cellIs" dxfId="72" priority="63" operator="lessThan">
      <formula>0</formula>
    </cfRule>
  </conditionalFormatting>
  <conditionalFormatting sqref="M17:N18 P17:Q18">
    <cfRule type="cellIs" dxfId="71" priority="62" operator="lessThan">
      <formula>0</formula>
    </cfRule>
  </conditionalFormatting>
  <conditionalFormatting sqref="O17:O18">
    <cfRule type="cellIs" dxfId="70" priority="61" operator="lessThan">
      <formula>0</formula>
    </cfRule>
  </conditionalFormatting>
  <conditionalFormatting sqref="Q16">
    <cfRule type="cellIs" dxfId="69" priority="60" operator="lessThan">
      <formula>0</formula>
    </cfRule>
  </conditionalFormatting>
  <conditionalFormatting sqref="M16:N16 P16">
    <cfRule type="cellIs" dxfId="68" priority="59" operator="lessThan">
      <formula>0</formula>
    </cfRule>
  </conditionalFormatting>
  <conditionalFormatting sqref="O16">
    <cfRule type="cellIs" dxfId="67" priority="58" operator="lessThan">
      <formula>0</formula>
    </cfRule>
  </conditionalFormatting>
  <conditionalFormatting sqref="M20:Q21">
    <cfRule type="cellIs" dxfId="66" priority="57" operator="lessThan">
      <formula>0</formula>
    </cfRule>
  </conditionalFormatting>
  <conditionalFormatting sqref="M19:N19 P19:Q19">
    <cfRule type="cellIs" dxfId="65" priority="56" operator="lessThan">
      <formula>0</formula>
    </cfRule>
  </conditionalFormatting>
  <conditionalFormatting sqref="O19">
    <cfRule type="cellIs" dxfId="64" priority="55" operator="lessThan">
      <formula>0</formula>
    </cfRule>
  </conditionalFormatting>
  <conditionalFormatting sqref="P23:Q24 M23:N24">
    <cfRule type="cellIs" dxfId="63" priority="54" operator="lessThan">
      <formula>0</formula>
    </cfRule>
  </conditionalFormatting>
  <conditionalFormatting sqref="O23:O24">
    <cfRule type="cellIs" dxfId="62" priority="53" operator="lessThan">
      <formula>0</formula>
    </cfRule>
  </conditionalFormatting>
  <conditionalFormatting sqref="M22:N22 P22:Q22">
    <cfRule type="cellIs" dxfId="61" priority="52" operator="lessThan">
      <formula>0</formula>
    </cfRule>
  </conditionalFormatting>
  <conditionalFormatting sqref="O22">
    <cfRule type="cellIs" dxfId="60" priority="51" operator="lessThan">
      <formula>0</formula>
    </cfRule>
  </conditionalFormatting>
  <conditionalFormatting sqref="M26:N27 P26:Q27">
    <cfRule type="cellIs" dxfId="59" priority="50" operator="lessThan">
      <formula>0</formula>
    </cfRule>
  </conditionalFormatting>
  <conditionalFormatting sqref="O26:O27">
    <cfRule type="cellIs" dxfId="58" priority="49" operator="lessThan">
      <formula>0</formula>
    </cfRule>
  </conditionalFormatting>
  <conditionalFormatting sqref="Q25">
    <cfRule type="cellIs" dxfId="57" priority="48" operator="lessThan">
      <formula>0</formula>
    </cfRule>
  </conditionalFormatting>
  <conditionalFormatting sqref="M25:N25 P25">
    <cfRule type="cellIs" dxfId="56" priority="47" operator="lessThan">
      <formula>0</formula>
    </cfRule>
  </conditionalFormatting>
  <conditionalFormatting sqref="O25">
    <cfRule type="cellIs" dxfId="55" priority="46" operator="lessThan">
      <formula>0</formula>
    </cfRule>
  </conditionalFormatting>
  <conditionalFormatting sqref="M29:Q30">
    <cfRule type="cellIs" dxfId="54" priority="45" operator="lessThan">
      <formula>0</formula>
    </cfRule>
  </conditionalFormatting>
  <conditionalFormatting sqref="Q28">
    <cfRule type="cellIs" dxfId="53" priority="44" operator="lessThan">
      <formula>0</formula>
    </cfRule>
  </conditionalFormatting>
  <conditionalFormatting sqref="M28:N28 P28">
    <cfRule type="cellIs" dxfId="52" priority="43" operator="lessThan">
      <formula>0</formula>
    </cfRule>
  </conditionalFormatting>
  <conditionalFormatting sqref="O28">
    <cfRule type="cellIs" dxfId="51" priority="42" operator="lessThan">
      <formula>0</formula>
    </cfRule>
  </conditionalFormatting>
  <conditionalFormatting sqref="M32:Q33">
    <cfRule type="cellIs" dxfId="50" priority="41" operator="lessThan">
      <formula>0</formula>
    </cfRule>
  </conditionalFormatting>
  <conditionalFormatting sqref="Q31">
    <cfRule type="cellIs" dxfId="49" priority="40" operator="lessThan">
      <formula>0</formula>
    </cfRule>
  </conditionalFormatting>
  <conditionalFormatting sqref="M31:N31 P31">
    <cfRule type="cellIs" dxfId="48" priority="39" operator="lessThan">
      <formula>0</formula>
    </cfRule>
  </conditionalFormatting>
  <conditionalFormatting sqref="O31">
    <cfRule type="cellIs" dxfId="47" priority="38" operator="lessThan">
      <formula>0</formula>
    </cfRule>
  </conditionalFormatting>
  <conditionalFormatting sqref="M34:N36 P34:Q36">
    <cfRule type="cellIs" dxfId="46" priority="37" operator="lessThan">
      <formula>0</formula>
    </cfRule>
  </conditionalFormatting>
  <conditionalFormatting sqref="O34:O36">
    <cfRule type="cellIs" dxfId="45" priority="36" operator="lessThan">
      <formula>0</formula>
    </cfRule>
  </conditionalFormatting>
  <conditionalFormatting sqref="P38:Q39 M38:N39">
    <cfRule type="cellIs" dxfId="44" priority="35" operator="lessThan">
      <formula>0</formula>
    </cfRule>
  </conditionalFormatting>
  <conditionalFormatting sqref="O38:O39">
    <cfRule type="cellIs" dxfId="43" priority="34" operator="lessThan">
      <formula>0</formula>
    </cfRule>
  </conditionalFormatting>
  <conditionalFormatting sqref="M37:N37 P37:Q37">
    <cfRule type="cellIs" dxfId="42" priority="33" operator="lessThan">
      <formula>0</formula>
    </cfRule>
  </conditionalFormatting>
  <conditionalFormatting sqref="O37">
    <cfRule type="cellIs" dxfId="41" priority="32" operator="lessThan">
      <formula>0</formula>
    </cfRule>
  </conditionalFormatting>
  <conditionalFormatting sqref="P41:Q42 M41:N42">
    <cfRule type="cellIs" dxfId="40" priority="31" operator="lessThan">
      <formula>0</formula>
    </cfRule>
  </conditionalFormatting>
  <conditionalFormatting sqref="O41:O42">
    <cfRule type="cellIs" dxfId="39" priority="30" operator="lessThan">
      <formula>0</formula>
    </cfRule>
  </conditionalFormatting>
  <conditionalFormatting sqref="M40:N40 P40:Q40">
    <cfRule type="cellIs" dxfId="38" priority="29" operator="lessThan">
      <formula>0</formula>
    </cfRule>
  </conditionalFormatting>
  <conditionalFormatting sqref="O40">
    <cfRule type="cellIs" dxfId="37" priority="28" operator="lessThan">
      <formula>0</formula>
    </cfRule>
  </conditionalFormatting>
  <conditionalFormatting sqref="P44:Q45 M44:N45">
    <cfRule type="cellIs" dxfId="36" priority="27" operator="lessThan">
      <formula>0</formula>
    </cfRule>
  </conditionalFormatting>
  <conditionalFormatting sqref="O44:O45">
    <cfRule type="cellIs" dxfId="35" priority="26" operator="lessThan">
      <formula>0</formula>
    </cfRule>
  </conditionalFormatting>
  <conditionalFormatting sqref="M43:N43 P43:Q43">
    <cfRule type="cellIs" dxfId="34" priority="25" operator="lessThan">
      <formula>0</formula>
    </cfRule>
  </conditionalFormatting>
  <conditionalFormatting sqref="O43">
    <cfRule type="cellIs" dxfId="33" priority="24" operator="lessThan">
      <formula>0</formula>
    </cfRule>
  </conditionalFormatting>
  <conditionalFormatting sqref="P47:Q48 M47:N48">
    <cfRule type="cellIs" dxfId="32" priority="23" operator="lessThan">
      <formula>0</formula>
    </cfRule>
  </conditionalFormatting>
  <conditionalFormatting sqref="O47:O48">
    <cfRule type="cellIs" dxfId="31" priority="22" operator="lessThan">
      <formula>0</formula>
    </cfRule>
  </conditionalFormatting>
  <conditionalFormatting sqref="P46:Q46 M46">
    <cfRule type="cellIs" dxfId="30" priority="21" operator="lessThan">
      <formula>0</formula>
    </cfRule>
  </conditionalFormatting>
  <conditionalFormatting sqref="O46">
    <cfRule type="cellIs" dxfId="29" priority="20" operator="lessThan">
      <formula>0</formula>
    </cfRule>
  </conditionalFormatting>
  <conditionalFormatting sqref="N46">
    <cfRule type="cellIs" dxfId="28" priority="19" operator="lessThan">
      <formula>0</formula>
    </cfRule>
  </conditionalFormatting>
  <conditionalFormatting sqref="P50:Q51 M50:N51">
    <cfRule type="cellIs" dxfId="27" priority="18" operator="lessThan">
      <formula>0</formula>
    </cfRule>
  </conditionalFormatting>
  <conditionalFormatting sqref="O50:O51">
    <cfRule type="cellIs" dxfId="26" priority="17" operator="lessThan">
      <formula>0</formula>
    </cfRule>
  </conditionalFormatting>
  <conditionalFormatting sqref="M49:N49 P49:Q49">
    <cfRule type="cellIs" dxfId="25" priority="16" operator="lessThan">
      <formula>0</formula>
    </cfRule>
  </conditionalFormatting>
  <conditionalFormatting sqref="O49">
    <cfRule type="cellIs" dxfId="24" priority="15" operator="lessThan">
      <formula>0</formula>
    </cfRule>
  </conditionalFormatting>
  <conditionalFormatting sqref="P53:Q54 M53:N54">
    <cfRule type="cellIs" dxfId="23" priority="14" operator="lessThan">
      <formula>0</formula>
    </cfRule>
  </conditionalFormatting>
  <conditionalFormatting sqref="O53:O54">
    <cfRule type="cellIs" dxfId="22" priority="13" operator="lessThan">
      <formula>0</formula>
    </cfRule>
  </conditionalFormatting>
  <conditionalFormatting sqref="N52 P52:Q52">
    <cfRule type="cellIs" dxfId="21" priority="12" operator="lessThan">
      <formula>0</formula>
    </cfRule>
  </conditionalFormatting>
  <conditionalFormatting sqref="O52">
    <cfRule type="cellIs" dxfId="20" priority="11" operator="lessThan">
      <formula>0</formula>
    </cfRule>
  </conditionalFormatting>
  <conditionalFormatting sqref="M52">
    <cfRule type="cellIs" dxfId="19" priority="10" operator="lessThan">
      <formula>0</formula>
    </cfRule>
  </conditionalFormatting>
  <conditionalFormatting sqref="R38:R39 R35:R36">
    <cfRule type="cellIs" dxfId="18" priority="9" operator="lessThan">
      <formula>0</formula>
    </cfRule>
  </conditionalFormatting>
  <conditionalFormatting sqref="R41:R42 R44:R45 R47:R48 R50:R51">
    <cfRule type="cellIs" dxfId="17" priority="8" operator="lessThan">
      <formula>0</formula>
    </cfRule>
  </conditionalFormatting>
  <conditionalFormatting sqref="R49">
    <cfRule type="cellIs" dxfId="16" priority="7" operator="lessThan">
      <formula>0</formula>
    </cfRule>
  </conditionalFormatting>
  <conditionalFormatting sqref="R52">
    <cfRule type="cellIs" dxfId="15" priority="6" operator="lessThan">
      <formula>0</formula>
    </cfRule>
  </conditionalFormatting>
  <conditionalFormatting sqref="R46">
    <cfRule type="cellIs" dxfId="14" priority="5" operator="lessThan">
      <formula>0</formula>
    </cfRule>
  </conditionalFormatting>
  <conditionalFormatting sqref="R43">
    <cfRule type="cellIs" dxfId="13" priority="4" operator="lessThan">
      <formula>0</formula>
    </cfRule>
  </conditionalFormatting>
  <conditionalFormatting sqref="R40">
    <cfRule type="cellIs" dxfId="12" priority="3" operator="lessThan">
      <formula>0</formula>
    </cfRule>
  </conditionalFormatting>
  <conditionalFormatting sqref="R37">
    <cfRule type="cellIs" dxfId="11" priority="2" operator="lessThan">
      <formula>0</formula>
    </cfRule>
  </conditionalFormatting>
  <conditionalFormatting sqref="R34">
    <cfRule type="cellIs" dxfId="10" priority="1" operator="lessThan">
      <formula>0</formula>
    </cfRule>
  </conditionalFormatting>
  <dataValidations count="2">
    <dataValidation type="list" allowBlank="1" showInputMessage="1" showErrorMessage="1" sqref="K52:K54 K37:K49 K25:K34" xr:uid="{00000000-0002-0000-0100-000000000000}">
      <formula1>$B$3:$B$59</formula1>
    </dataValidation>
    <dataValidation type="list" allowBlank="1" showInputMessage="1" showErrorMessage="1" sqref="K22:K24" xr:uid="{00000000-0002-0000-0100-000001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F126E9-1417-492E-AFEB-DA8EE918CD5E}">
  <dimension ref="A1:R336"/>
  <sheetViews>
    <sheetView showGridLines="0" zoomScale="80" zoomScaleNormal="80" zoomScalePageLayoutView="95" workbookViewId="0">
      <pane xSplit="3" ySplit="4" topLeftCell="E291" activePane="bottomRight" state="frozen"/>
      <selection pane="topRight" activeCell="D1" sqref="D1"/>
      <selection pane="bottomLeft" activeCell="A5" sqref="A5"/>
      <selection pane="bottomRight" activeCell="F348" sqref="F348:F349"/>
    </sheetView>
  </sheetViews>
  <sheetFormatPr baseColWidth="10" defaultColWidth="10.85546875" defaultRowHeight="12.75" x14ac:dyDescent="0.2"/>
  <cols>
    <col min="1" max="1" width="4.85546875" style="1" bestFit="1" customWidth="1"/>
    <col min="2" max="2" width="29.85546875" style="357" customWidth="1"/>
    <col min="3" max="3" width="31.5703125" style="357" customWidth="1"/>
    <col min="4" max="4" width="41.85546875" style="1" bestFit="1" customWidth="1"/>
    <col min="5" max="5" width="30.140625" style="1" customWidth="1"/>
    <col min="6" max="6" width="46" style="1" customWidth="1"/>
    <col min="7" max="7" width="24.7109375" style="172" customWidth="1"/>
    <col min="8" max="8" width="24.85546875" style="171" customWidth="1"/>
    <col min="9" max="9" width="17.28515625" style="1" bestFit="1" customWidth="1"/>
    <col min="10" max="10" width="18.7109375" style="1" bestFit="1" customWidth="1"/>
    <col min="11" max="11" width="26.5703125" style="1" bestFit="1" customWidth="1"/>
    <col min="12" max="12" width="88.7109375" style="1" customWidth="1"/>
    <col min="13" max="13" width="23.42578125" style="1" bestFit="1" customWidth="1"/>
    <col min="14" max="14" width="18.7109375" style="1" bestFit="1" customWidth="1"/>
    <col min="15" max="16" width="39.42578125" style="170" customWidth="1"/>
    <col min="17" max="17" width="46.28515625" style="170" customWidth="1"/>
    <col min="18" max="18" width="39.42578125" style="170" customWidth="1"/>
    <col min="19" max="16384" width="10.85546875" style="1"/>
  </cols>
  <sheetData>
    <row r="1" spans="1:18" ht="14.25" x14ac:dyDescent="0.2">
      <c r="A1" s="178" t="s">
        <v>534</v>
      </c>
      <c r="B1" s="353"/>
      <c r="C1" s="354"/>
      <c r="D1" s="273"/>
      <c r="E1" s="273"/>
      <c r="F1" s="273"/>
      <c r="G1" s="275"/>
      <c r="H1" s="274"/>
      <c r="I1" s="273"/>
      <c r="J1" s="273"/>
      <c r="K1" s="273"/>
      <c r="L1" s="273"/>
    </row>
    <row r="2" spans="1:18" ht="15" x14ac:dyDescent="0.2">
      <c r="A2" s="178" t="s">
        <v>534</v>
      </c>
      <c r="B2" s="854" t="s">
        <v>128</v>
      </c>
      <c r="C2" s="855"/>
      <c r="D2" s="855"/>
      <c r="E2" s="855"/>
      <c r="F2" s="855"/>
      <c r="G2" s="855"/>
      <c r="H2" s="855"/>
      <c r="I2" s="855"/>
      <c r="J2" s="855"/>
      <c r="K2" s="855"/>
      <c r="L2" s="856"/>
      <c r="M2" s="54"/>
    </row>
    <row r="3" spans="1:18" ht="15" x14ac:dyDescent="0.2">
      <c r="A3" s="1" t="s">
        <v>473</v>
      </c>
      <c r="B3" s="272" t="s">
        <v>129</v>
      </c>
      <c r="C3" s="272"/>
      <c r="D3" s="269"/>
      <c r="E3" s="269"/>
      <c r="F3" s="269"/>
      <c r="G3" s="271"/>
      <c r="H3" s="270"/>
      <c r="I3" s="269"/>
      <c r="J3" s="269"/>
      <c r="K3" s="269"/>
      <c r="L3" s="269"/>
      <c r="M3" s="54"/>
    </row>
    <row r="4" spans="1:18" s="357" customFormat="1" ht="15" x14ac:dyDescent="0.2">
      <c r="A4" s="234" t="s">
        <v>534</v>
      </c>
      <c r="B4" s="141" t="s">
        <v>130</v>
      </c>
      <c r="C4" s="142" t="s">
        <v>131</v>
      </c>
      <c r="D4" s="142" t="s">
        <v>132</v>
      </c>
      <c r="E4" s="842" t="s">
        <v>133</v>
      </c>
      <c r="F4" s="843"/>
      <c r="G4" s="842" t="s">
        <v>134</v>
      </c>
      <c r="H4" s="844"/>
      <c r="I4" s="844"/>
      <c r="J4" s="844"/>
      <c r="K4" s="843"/>
      <c r="L4" s="143" t="s">
        <v>97</v>
      </c>
      <c r="M4" s="143" t="s">
        <v>837</v>
      </c>
      <c r="O4" s="233"/>
      <c r="P4" s="233"/>
      <c r="Q4" s="233"/>
      <c r="R4" s="233"/>
    </row>
    <row r="5" spans="1:18" s="180" customFormat="1" ht="45" x14ac:dyDescent="0.25">
      <c r="A5" s="184" t="s">
        <v>534</v>
      </c>
      <c r="B5" s="141"/>
      <c r="C5" s="142"/>
      <c r="D5" s="142"/>
      <c r="E5" s="144" t="s">
        <v>135</v>
      </c>
      <c r="F5" s="144" t="s">
        <v>136</v>
      </c>
      <c r="G5" s="144" t="s">
        <v>619</v>
      </c>
      <c r="H5" s="144" t="s">
        <v>137</v>
      </c>
      <c r="I5" s="144" t="s">
        <v>138</v>
      </c>
      <c r="J5" s="144" t="s">
        <v>139</v>
      </c>
      <c r="K5" s="144" t="s">
        <v>140</v>
      </c>
      <c r="L5" s="143"/>
      <c r="M5" s="182"/>
      <c r="O5" s="181"/>
      <c r="P5" s="181"/>
      <c r="Q5" s="181"/>
      <c r="R5" s="181"/>
    </row>
    <row r="6" spans="1:18" ht="28.5" x14ac:dyDescent="0.25">
      <c r="A6" s="178" t="s">
        <v>534</v>
      </c>
      <c r="B6" s="355" t="s">
        <v>141</v>
      </c>
      <c r="C6" s="55" t="s">
        <v>142</v>
      </c>
      <c r="D6" s="55" t="s">
        <v>143</v>
      </c>
      <c r="E6" s="50"/>
      <c r="F6" s="205" t="s">
        <v>144</v>
      </c>
      <c r="G6" s="176"/>
      <c r="H6" s="145">
        <v>5268448465</v>
      </c>
      <c r="I6" s="28"/>
      <c r="J6" s="32"/>
      <c r="K6" s="264">
        <v>0</v>
      </c>
      <c r="L6" s="143"/>
      <c r="M6" s="54"/>
    </row>
    <row r="7" spans="1:18" ht="15" x14ac:dyDescent="0.25">
      <c r="A7" s="178" t="s">
        <v>534</v>
      </c>
      <c r="B7" s="355" t="s">
        <v>145</v>
      </c>
      <c r="C7" s="55" t="s">
        <v>142</v>
      </c>
      <c r="D7" s="55" t="s">
        <v>143</v>
      </c>
      <c r="E7" s="50"/>
      <c r="F7" s="154" t="s">
        <v>620</v>
      </c>
      <c r="G7" s="198"/>
      <c r="H7" s="254">
        <v>20324681095</v>
      </c>
      <c r="I7" s="28"/>
      <c r="J7" s="32"/>
      <c r="K7" s="264">
        <v>0</v>
      </c>
      <c r="L7" s="143"/>
      <c r="M7" s="54"/>
    </row>
    <row r="8" spans="1:18" ht="15" x14ac:dyDescent="0.25">
      <c r="A8" s="178" t="s">
        <v>534</v>
      </c>
      <c r="B8" s="355" t="s">
        <v>146</v>
      </c>
      <c r="C8" s="55" t="s">
        <v>142</v>
      </c>
      <c r="D8" s="55" t="s">
        <v>143</v>
      </c>
      <c r="E8" s="50"/>
      <c r="F8" s="154" t="s">
        <v>621</v>
      </c>
      <c r="G8" s="198"/>
      <c r="H8" s="254">
        <v>26799206349</v>
      </c>
      <c r="I8" s="28"/>
      <c r="J8" s="32"/>
      <c r="K8" s="264">
        <v>0</v>
      </c>
      <c r="L8" s="143"/>
      <c r="M8" s="54"/>
    </row>
    <row r="9" spans="1:18" ht="75" x14ac:dyDescent="0.25">
      <c r="A9" s="178" t="s">
        <v>534</v>
      </c>
      <c r="B9" s="355" t="s">
        <v>147</v>
      </c>
      <c r="C9" s="55" t="s">
        <v>142</v>
      </c>
      <c r="D9" s="55" t="s">
        <v>143</v>
      </c>
      <c r="E9" s="50"/>
      <c r="F9" s="154" t="s">
        <v>622</v>
      </c>
      <c r="G9" s="198"/>
      <c r="H9" s="265">
        <v>62112039495.099998</v>
      </c>
      <c r="I9" s="167"/>
      <c r="J9" s="266"/>
      <c r="K9" s="264">
        <v>0</v>
      </c>
      <c r="L9" s="268" t="s">
        <v>334</v>
      </c>
      <c r="M9" s="54"/>
    </row>
    <row r="10" spans="1:18" ht="15" x14ac:dyDescent="0.25">
      <c r="A10" s="178" t="s">
        <v>534</v>
      </c>
      <c r="B10" s="355" t="s">
        <v>148</v>
      </c>
      <c r="C10" s="55" t="s">
        <v>142</v>
      </c>
      <c r="D10" s="55" t="s">
        <v>143</v>
      </c>
      <c r="E10" s="50"/>
      <c r="F10" s="154" t="s">
        <v>623</v>
      </c>
      <c r="G10" s="198"/>
      <c r="H10" s="265">
        <v>48547865289.099998</v>
      </c>
      <c r="I10" s="167"/>
      <c r="J10" s="266"/>
      <c r="K10" s="264">
        <v>0</v>
      </c>
      <c r="L10" s="267"/>
      <c r="M10" s="54"/>
    </row>
    <row r="11" spans="1:18" ht="15" x14ac:dyDescent="0.25">
      <c r="A11" s="178" t="s">
        <v>534</v>
      </c>
      <c r="B11" s="355" t="s">
        <v>149</v>
      </c>
      <c r="C11" s="55" t="s">
        <v>142</v>
      </c>
      <c r="D11" s="55" t="s">
        <v>143</v>
      </c>
      <c r="E11" s="50"/>
      <c r="F11" s="154" t="s">
        <v>624</v>
      </c>
      <c r="G11" s="198"/>
      <c r="H11" s="265">
        <v>49940241269.099998</v>
      </c>
      <c r="I11" s="167"/>
      <c r="J11" s="266"/>
      <c r="K11" s="264">
        <v>0</v>
      </c>
      <c r="L11" s="143"/>
      <c r="M11" s="54"/>
    </row>
    <row r="12" spans="1:18" ht="15" x14ac:dyDescent="0.25">
      <c r="A12" s="178" t="s">
        <v>534</v>
      </c>
      <c r="B12" s="355" t="s">
        <v>150</v>
      </c>
      <c r="C12" s="55" t="s">
        <v>142</v>
      </c>
      <c r="D12" s="55" t="s">
        <v>143</v>
      </c>
      <c r="E12" s="50"/>
      <c r="F12" s="154" t="s">
        <v>625</v>
      </c>
      <c r="G12" s="198"/>
      <c r="H12" s="265">
        <v>42430490883.199997</v>
      </c>
      <c r="I12" s="167"/>
      <c r="J12" s="266"/>
      <c r="K12" s="264">
        <v>0</v>
      </c>
      <c r="L12" s="143"/>
      <c r="M12" s="54"/>
    </row>
    <row r="13" spans="1:18" ht="15" x14ac:dyDescent="0.25">
      <c r="A13" s="178" t="s">
        <v>534</v>
      </c>
      <c r="B13" s="355" t="s">
        <v>151</v>
      </c>
      <c r="C13" s="55" t="s">
        <v>142</v>
      </c>
      <c r="D13" s="55" t="s">
        <v>143</v>
      </c>
      <c r="E13" s="50"/>
      <c r="F13" s="154" t="s">
        <v>626</v>
      </c>
      <c r="G13" s="198"/>
      <c r="H13" s="265">
        <v>24948005269.599998</v>
      </c>
      <c r="I13" s="167"/>
      <c r="J13" s="167"/>
      <c r="K13" s="264">
        <v>0</v>
      </c>
      <c r="L13" s="143"/>
      <c r="M13" s="54"/>
    </row>
    <row r="14" spans="1:18" ht="15" x14ac:dyDescent="0.25">
      <c r="A14" s="178" t="s">
        <v>534</v>
      </c>
      <c r="B14" s="166"/>
      <c r="C14" s="29"/>
      <c r="D14" s="29"/>
      <c r="E14" s="263"/>
      <c r="F14" s="262"/>
      <c r="G14" s="261"/>
      <c r="H14" s="260">
        <f>SUM(H6:H13)</f>
        <v>280370978115.09998</v>
      </c>
      <c r="I14" s="30"/>
      <c r="J14" s="259"/>
      <c r="K14" s="258">
        <v>0</v>
      </c>
      <c r="L14" s="257"/>
      <c r="M14" s="54"/>
    </row>
    <row r="15" spans="1:18" ht="14.25" x14ac:dyDescent="0.2">
      <c r="A15" s="178" t="s">
        <v>534</v>
      </c>
      <c r="B15" s="355"/>
      <c r="C15" s="55" t="s">
        <v>142</v>
      </c>
      <c r="D15" s="55" t="s">
        <v>143</v>
      </c>
      <c r="E15" s="50">
        <v>3111530718</v>
      </c>
      <c r="F15" s="205"/>
      <c r="G15" s="198">
        <v>42278</v>
      </c>
      <c r="H15" s="145"/>
      <c r="I15" s="39">
        <f>123.78/111.82</f>
        <v>1.1069576104453587</v>
      </c>
      <c r="J15" s="31" t="s">
        <v>152</v>
      </c>
      <c r="K15" s="50">
        <f>+E15/I15</f>
        <v>2810885158.2384872</v>
      </c>
      <c r="L15" s="173"/>
      <c r="M15" s="54"/>
    </row>
    <row r="16" spans="1:18" ht="14.25" x14ac:dyDescent="0.2">
      <c r="A16" s="178" t="s">
        <v>534</v>
      </c>
      <c r="B16" s="355"/>
      <c r="C16" s="55" t="s">
        <v>142</v>
      </c>
      <c r="D16" s="55" t="s">
        <v>143</v>
      </c>
      <c r="E16" s="212">
        <v>5503863348.5</v>
      </c>
      <c r="F16" s="256"/>
      <c r="G16" s="198">
        <v>42279</v>
      </c>
      <c r="H16" s="254"/>
      <c r="I16" s="39">
        <f>123.78/111.82</f>
        <v>1.1069576104453587</v>
      </c>
      <c r="J16" s="31" t="s">
        <v>152</v>
      </c>
      <c r="K16" s="50">
        <f>+E16/I16</f>
        <v>4972063335.1855707</v>
      </c>
      <c r="L16" s="173"/>
      <c r="M16" s="54"/>
    </row>
    <row r="17" spans="1:13" ht="14.25" x14ac:dyDescent="0.2">
      <c r="A17" s="178" t="s">
        <v>534</v>
      </c>
      <c r="B17" s="355"/>
      <c r="C17" s="55" t="s">
        <v>142</v>
      </c>
      <c r="D17" s="55" t="s">
        <v>143</v>
      </c>
      <c r="E17" s="212">
        <v>263457714</v>
      </c>
      <c r="F17" s="256"/>
      <c r="G17" s="198">
        <v>42292</v>
      </c>
      <c r="H17" s="254"/>
      <c r="I17" s="39">
        <f>123.78/111.82</f>
        <v>1.1069576104453587</v>
      </c>
      <c r="J17" s="31" t="s">
        <v>152</v>
      </c>
      <c r="K17" s="50">
        <f>+E17/I17</f>
        <v>238001628.53029567</v>
      </c>
      <c r="L17" s="173"/>
      <c r="M17" s="54"/>
    </row>
    <row r="18" spans="1:13" ht="14.25" x14ac:dyDescent="0.2">
      <c r="A18" s="178" t="s">
        <v>534</v>
      </c>
      <c r="B18" s="355"/>
      <c r="C18" s="55" t="s">
        <v>142</v>
      </c>
      <c r="D18" s="55" t="s">
        <v>143</v>
      </c>
      <c r="E18" s="212">
        <v>1636965150</v>
      </c>
      <c r="F18" s="251"/>
      <c r="G18" s="198">
        <v>42305</v>
      </c>
      <c r="H18" s="254"/>
      <c r="I18" s="39">
        <f>123.78/111.82</f>
        <v>1.1069576104453587</v>
      </c>
      <c r="J18" s="31" t="s">
        <v>152</v>
      </c>
      <c r="K18" s="50">
        <f>+E18/I18</f>
        <v>1478796599.3940861</v>
      </c>
      <c r="L18" s="173"/>
      <c r="M18" s="54"/>
    </row>
    <row r="19" spans="1:13" ht="14.25" x14ac:dyDescent="0.2">
      <c r="A19" s="178" t="s">
        <v>534</v>
      </c>
      <c r="B19" s="355"/>
      <c r="C19" s="55" t="s">
        <v>142</v>
      </c>
      <c r="D19" s="55" t="s">
        <v>143</v>
      </c>
      <c r="E19" s="212">
        <v>2728275250</v>
      </c>
      <c r="F19" s="256"/>
      <c r="G19" s="198">
        <v>42311</v>
      </c>
      <c r="H19" s="254"/>
      <c r="I19" s="74">
        <f>124.62/111.82</f>
        <v>1.1144696834197818</v>
      </c>
      <c r="J19" s="32" t="s">
        <v>153</v>
      </c>
      <c r="K19" s="50">
        <f>+E19/I19</f>
        <v>2448047973.4793773</v>
      </c>
      <c r="L19" s="173"/>
      <c r="M19" s="54"/>
    </row>
    <row r="20" spans="1:13" ht="14.25" x14ac:dyDescent="0.2">
      <c r="A20" s="178" t="s">
        <v>534</v>
      </c>
      <c r="B20" s="355"/>
      <c r="C20" s="55" t="s">
        <v>142</v>
      </c>
      <c r="D20" s="55" t="s">
        <v>143</v>
      </c>
      <c r="E20" s="212">
        <v>621675000</v>
      </c>
      <c r="F20" s="255"/>
      <c r="G20" s="198">
        <v>42352</v>
      </c>
      <c r="H20" s="254"/>
      <c r="I20" s="74">
        <f>125.37/111.82</f>
        <v>1.1211768914326596</v>
      </c>
      <c r="J20" s="32" t="s">
        <v>154</v>
      </c>
      <c r="K20" s="50">
        <f>+E20/I20</f>
        <v>554484314.42928934</v>
      </c>
      <c r="L20" s="173"/>
      <c r="M20" s="54"/>
    </row>
    <row r="21" spans="1:13" ht="14.25" x14ac:dyDescent="0.2">
      <c r="A21" s="178" t="s">
        <v>534</v>
      </c>
      <c r="B21" s="355"/>
      <c r="C21" s="55" t="s">
        <v>142</v>
      </c>
      <c r="D21" s="55" t="s">
        <v>143</v>
      </c>
      <c r="E21" s="212">
        <v>764295785</v>
      </c>
      <c r="F21" s="255"/>
      <c r="G21" s="198">
        <v>42353</v>
      </c>
      <c r="H21" s="254"/>
      <c r="I21" s="74">
        <f>125.37/111.82</f>
        <v>1.1211768914326596</v>
      </c>
      <c r="J21" s="32" t="s">
        <v>154</v>
      </c>
      <c r="K21" s="50">
        <f>+E21/I21</f>
        <v>681690633.15545988</v>
      </c>
      <c r="L21" s="173"/>
      <c r="M21" s="54"/>
    </row>
    <row r="22" spans="1:13" ht="14.25" x14ac:dyDescent="0.2">
      <c r="A22" s="178" t="s">
        <v>534</v>
      </c>
      <c r="B22" s="355"/>
      <c r="C22" s="55" t="s">
        <v>142</v>
      </c>
      <c r="D22" s="55" t="s">
        <v>143</v>
      </c>
      <c r="E22" s="212">
        <v>872199750</v>
      </c>
      <c r="F22" s="255"/>
      <c r="G22" s="198">
        <v>42354</v>
      </c>
      <c r="H22" s="254"/>
      <c r="I22" s="74">
        <f>125.37/111.82</f>
        <v>1.1211768914326596</v>
      </c>
      <c r="J22" s="32" t="s">
        <v>154</v>
      </c>
      <c r="K22" s="50">
        <f>+E22/I22</f>
        <v>777932328.66714525</v>
      </c>
      <c r="L22" s="173"/>
      <c r="M22" s="54"/>
    </row>
    <row r="23" spans="1:13" ht="14.25" x14ac:dyDescent="0.2">
      <c r="A23" s="178" t="s">
        <v>534</v>
      </c>
      <c r="B23" s="355"/>
      <c r="C23" s="55" t="s">
        <v>142</v>
      </c>
      <c r="D23" s="55" t="s">
        <v>143</v>
      </c>
      <c r="E23" s="212">
        <v>19781458</v>
      </c>
      <c r="F23" s="255"/>
      <c r="G23" s="198">
        <v>42354</v>
      </c>
      <c r="H23" s="254"/>
      <c r="I23" s="74">
        <f>125.37/111.82</f>
        <v>1.1211768914326596</v>
      </c>
      <c r="J23" s="32" t="s">
        <v>154</v>
      </c>
      <c r="K23" s="50">
        <f>+E23/I23</f>
        <v>17643476.378399935</v>
      </c>
      <c r="L23" s="173"/>
      <c r="M23" s="54"/>
    </row>
    <row r="24" spans="1:13" ht="14.25" x14ac:dyDescent="0.2">
      <c r="A24" s="178" t="s">
        <v>534</v>
      </c>
      <c r="B24" s="355"/>
      <c r="C24" s="55" t="s">
        <v>142</v>
      </c>
      <c r="D24" s="55" t="s">
        <v>143</v>
      </c>
      <c r="E24" s="212">
        <v>686624625</v>
      </c>
      <c r="F24" s="168"/>
      <c r="G24" s="198">
        <v>42361</v>
      </c>
      <c r="H24" s="254"/>
      <c r="I24" s="74">
        <f>125.37/111.82</f>
        <v>1.1211768914326596</v>
      </c>
      <c r="J24" s="32" t="s">
        <v>154</v>
      </c>
      <c r="K24" s="50">
        <f>+E24/I24</f>
        <v>612414178.57142854</v>
      </c>
      <c r="L24" s="173"/>
      <c r="M24" s="54"/>
    </row>
    <row r="25" spans="1:13" ht="14.25" x14ac:dyDescent="0.2">
      <c r="A25" s="178" t="s">
        <v>534</v>
      </c>
      <c r="B25" s="355"/>
      <c r="C25" s="55" t="s">
        <v>142</v>
      </c>
      <c r="D25" s="55" t="s">
        <v>143</v>
      </c>
      <c r="E25" s="212">
        <v>2047764587</v>
      </c>
      <c r="F25" s="154"/>
      <c r="G25" s="176">
        <v>42382</v>
      </c>
      <c r="H25" s="254"/>
      <c r="I25" s="74">
        <f>126.15/111.82</f>
        <v>1.1281523877660526</v>
      </c>
      <c r="J25" s="32" t="s">
        <v>155</v>
      </c>
      <c r="K25" s="50">
        <f>+E25/I25</f>
        <v>1815148918.8929052</v>
      </c>
      <c r="L25" s="173"/>
      <c r="M25" s="54"/>
    </row>
    <row r="26" spans="1:13" ht="14.25" x14ac:dyDescent="0.2">
      <c r="A26" s="178" t="s">
        <v>534</v>
      </c>
      <c r="B26" s="355"/>
      <c r="C26" s="55" t="s">
        <v>142</v>
      </c>
      <c r="D26" s="55" t="s">
        <v>143</v>
      </c>
      <c r="E26" s="212">
        <v>3071646881</v>
      </c>
      <c r="F26" s="168"/>
      <c r="G26" s="176">
        <v>42384</v>
      </c>
      <c r="H26" s="254"/>
      <c r="I26" s="74">
        <f>126.15/111.82</f>
        <v>1.1281523877660526</v>
      </c>
      <c r="J26" s="32" t="s">
        <v>155</v>
      </c>
      <c r="K26" s="50">
        <f>+E26/I26</f>
        <v>2722723378.7825603</v>
      </c>
      <c r="L26" s="173"/>
      <c r="M26" s="54"/>
    </row>
    <row r="27" spans="1:13" ht="14.25" x14ac:dyDescent="0.2">
      <c r="A27" s="178" t="s">
        <v>534</v>
      </c>
      <c r="B27" s="355"/>
      <c r="C27" s="55" t="s">
        <v>142</v>
      </c>
      <c r="D27" s="55" t="s">
        <v>143</v>
      </c>
      <c r="E27" s="212">
        <v>3071646881</v>
      </c>
      <c r="F27" s="251"/>
      <c r="G27" s="176">
        <v>42409</v>
      </c>
      <c r="H27" s="254"/>
      <c r="I27" s="74">
        <f>127.78/111.82</f>
        <v>1.1427293865140404</v>
      </c>
      <c r="J27" s="32" t="s">
        <v>156</v>
      </c>
      <c r="K27" s="50">
        <f>+E27/I27</f>
        <v>2687991502.8441072</v>
      </c>
      <c r="L27" s="168"/>
      <c r="M27" s="54"/>
    </row>
    <row r="28" spans="1:13" ht="14.25" x14ac:dyDescent="0.2">
      <c r="A28" s="178" t="s">
        <v>534</v>
      </c>
      <c r="B28" s="355"/>
      <c r="C28" s="55" t="s">
        <v>142</v>
      </c>
      <c r="D28" s="55" t="s">
        <v>143</v>
      </c>
      <c r="E28" s="212">
        <v>1769000000</v>
      </c>
      <c r="F28" s="251"/>
      <c r="G28" s="176">
        <v>42415</v>
      </c>
      <c r="H28" s="254"/>
      <c r="I28" s="74">
        <f>127.78/111.82</f>
        <v>1.1427293865140404</v>
      </c>
      <c r="J28" s="32" t="s">
        <v>156</v>
      </c>
      <c r="K28" s="50">
        <f>+E28/I28</f>
        <v>1548048051.3382375</v>
      </c>
      <c r="L28" s="168"/>
      <c r="M28" s="54"/>
    </row>
    <row r="29" spans="1:13" ht="14.25" x14ac:dyDescent="0.2">
      <c r="A29" s="178" t="s">
        <v>534</v>
      </c>
      <c r="B29" s="355"/>
      <c r="C29" s="55" t="s">
        <v>142</v>
      </c>
      <c r="D29" s="55" t="s">
        <v>143</v>
      </c>
      <c r="E29" s="212">
        <v>2653500000</v>
      </c>
      <c r="F29" s="251"/>
      <c r="G29" s="176">
        <v>42416</v>
      </c>
      <c r="H29" s="254"/>
      <c r="I29" s="74">
        <f>127.78/111.82</f>
        <v>1.1427293865140404</v>
      </c>
      <c r="J29" s="32" t="s">
        <v>156</v>
      </c>
      <c r="K29" s="50">
        <f>+E29/I29</f>
        <v>2322072077.0073562</v>
      </c>
      <c r="L29" s="168"/>
      <c r="M29" s="54"/>
    </row>
    <row r="30" spans="1:13" ht="14.25" x14ac:dyDescent="0.2">
      <c r="A30" s="178" t="s">
        <v>534</v>
      </c>
      <c r="B30" s="355"/>
      <c r="C30" s="55" t="s">
        <v>142</v>
      </c>
      <c r="D30" s="55" t="s">
        <v>143</v>
      </c>
      <c r="E30" s="212">
        <v>2653500000</v>
      </c>
      <c r="F30" s="154"/>
      <c r="G30" s="176">
        <v>42430</v>
      </c>
      <c r="H30" s="254"/>
      <c r="I30" s="74">
        <f>129.41/111.82</f>
        <v>1.1573063852620282</v>
      </c>
      <c r="J30" s="32" t="s">
        <v>157</v>
      </c>
      <c r="K30" s="50">
        <f>+E30/I30</f>
        <v>2292824124.8744302</v>
      </c>
      <c r="L30" s="168"/>
      <c r="M30" s="54"/>
    </row>
    <row r="31" spans="1:13" ht="14.25" x14ac:dyDescent="0.2">
      <c r="A31" s="178" t="s">
        <v>534</v>
      </c>
      <c r="B31" s="355"/>
      <c r="C31" s="55" t="s">
        <v>142</v>
      </c>
      <c r="D31" s="55" t="s">
        <v>143</v>
      </c>
      <c r="E31" s="212">
        <v>2465000000</v>
      </c>
      <c r="F31" s="154"/>
      <c r="G31" s="176">
        <v>42443</v>
      </c>
      <c r="H31" s="254"/>
      <c r="I31" s="74">
        <f>129.41/111.82</f>
        <v>1.1573063852620282</v>
      </c>
      <c r="J31" s="32" t="s">
        <v>157</v>
      </c>
      <c r="K31" s="50">
        <f>+E31/I31</f>
        <v>2129945908.3532958</v>
      </c>
      <c r="L31" s="168"/>
      <c r="M31" s="54"/>
    </row>
    <row r="32" spans="1:13" ht="14.25" x14ac:dyDescent="0.2">
      <c r="A32" s="178" t="s">
        <v>534</v>
      </c>
      <c r="B32" s="355"/>
      <c r="C32" s="55" t="s">
        <v>142</v>
      </c>
      <c r="D32" s="55" t="s">
        <v>143</v>
      </c>
      <c r="E32" s="212">
        <v>3697500000</v>
      </c>
      <c r="F32" s="168"/>
      <c r="G32" s="176">
        <v>42444</v>
      </c>
      <c r="H32" s="254"/>
      <c r="I32" s="74">
        <f>129.41/111.82</f>
        <v>1.1573063852620282</v>
      </c>
      <c r="J32" s="32" t="s">
        <v>157</v>
      </c>
      <c r="K32" s="50">
        <f>+E32/I32</f>
        <v>3194918862.5299435</v>
      </c>
      <c r="L32" s="168"/>
      <c r="M32" s="54"/>
    </row>
    <row r="33" spans="1:13" ht="14.25" x14ac:dyDescent="0.2">
      <c r="A33" s="178" t="s">
        <v>534</v>
      </c>
      <c r="B33" s="355"/>
      <c r="C33" s="55" t="s">
        <v>142</v>
      </c>
      <c r="D33" s="55" t="s">
        <v>143</v>
      </c>
      <c r="E33" s="212">
        <v>3549440000</v>
      </c>
      <c r="F33" s="251"/>
      <c r="G33" s="176">
        <v>42459</v>
      </c>
      <c r="H33" s="254"/>
      <c r="I33" s="74">
        <f>129.41/111.82</f>
        <v>1.1573063852620282</v>
      </c>
      <c r="J33" s="32" t="s">
        <v>157</v>
      </c>
      <c r="K33" s="50">
        <f>+E33/I33</f>
        <v>3066983855.9616723</v>
      </c>
      <c r="L33" s="168"/>
      <c r="M33" s="54"/>
    </row>
    <row r="34" spans="1:13" ht="14.25" x14ac:dyDescent="0.2">
      <c r="A34" s="178" t="s">
        <v>534</v>
      </c>
      <c r="B34" s="355"/>
      <c r="C34" s="55" t="s">
        <v>142</v>
      </c>
      <c r="D34" s="55" t="s">
        <v>143</v>
      </c>
      <c r="E34" s="212">
        <v>15478119</v>
      </c>
      <c r="F34" s="154"/>
      <c r="G34" s="176">
        <v>42472</v>
      </c>
      <c r="H34" s="254"/>
      <c r="I34" s="74">
        <f>130.63/111.82</f>
        <v>1.1682167769629763</v>
      </c>
      <c r="J34" s="32" t="s">
        <v>158</v>
      </c>
      <c r="K34" s="50">
        <f>+E34/I34</f>
        <v>13249355.17553395</v>
      </c>
      <c r="L34" s="168"/>
      <c r="M34" s="54"/>
    </row>
    <row r="35" spans="1:13" ht="14.25" x14ac:dyDescent="0.2">
      <c r="A35" s="178" t="s">
        <v>534</v>
      </c>
      <c r="B35" s="355"/>
      <c r="C35" s="55" t="s">
        <v>142</v>
      </c>
      <c r="D35" s="55" t="s">
        <v>143</v>
      </c>
      <c r="E35" s="212">
        <v>2068530699</v>
      </c>
      <c r="F35" s="154"/>
      <c r="G35" s="176">
        <v>42475</v>
      </c>
      <c r="H35" s="254"/>
      <c r="I35" s="74">
        <f>130.63/111.82</f>
        <v>1.1682167769629763</v>
      </c>
      <c r="J35" s="32" t="s">
        <v>158</v>
      </c>
      <c r="K35" s="50">
        <f>+E35/I35</f>
        <v>1770673679.5696239</v>
      </c>
      <c r="L35" s="168"/>
      <c r="M35" s="54"/>
    </row>
    <row r="36" spans="1:13" ht="14.25" x14ac:dyDescent="0.2">
      <c r="A36" s="178" t="s">
        <v>534</v>
      </c>
      <c r="B36" s="355"/>
      <c r="C36" s="55" t="s">
        <v>142</v>
      </c>
      <c r="D36" s="55" t="s">
        <v>143</v>
      </c>
      <c r="E36" s="212">
        <v>3102796048</v>
      </c>
      <c r="F36" s="154"/>
      <c r="G36" s="176">
        <v>42480</v>
      </c>
      <c r="H36" s="254"/>
      <c r="I36" s="74">
        <f>130.63/111.82</f>
        <v>1.1682167769629763</v>
      </c>
      <c r="J36" s="32" t="s">
        <v>158</v>
      </c>
      <c r="K36" s="50">
        <f>+E36/I36</f>
        <v>2656010518.9264331</v>
      </c>
      <c r="L36" s="168"/>
      <c r="M36" s="54"/>
    </row>
    <row r="37" spans="1:13" ht="14.25" x14ac:dyDescent="0.2">
      <c r="A37" s="178" t="s">
        <v>534</v>
      </c>
      <c r="B37" s="355"/>
      <c r="C37" s="55" t="s">
        <v>142</v>
      </c>
      <c r="D37" s="55" t="s">
        <v>143</v>
      </c>
      <c r="E37" s="212">
        <v>3144320000</v>
      </c>
      <c r="F37" s="251"/>
      <c r="G37" s="176">
        <v>42489</v>
      </c>
      <c r="H37" s="254"/>
      <c r="I37" s="74">
        <f>130.63/111.82</f>
        <v>1.1682167769629763</v>
      </c>
      <c r="J37" s="32" t="s">
        <v>158</v>
      </c>
      <c r="K37" s="50">
        <f>+E37/I37</f>
        <v>2691555250.7081065</v>
      </c>
      <c r="L37" s="168"/>
      <c r="M37" s="54"/>
    </row>
    <row r="38" spans="1:13" ht="14.25" x14ac:dyDescent="0.2">
      <c r="A38" s="178" t="s">
        <v>534</v>
      </c>
      <c r="B38" s="355"/>
      <c r="C38" s="55" t="s">
        <v>142</v>
      </c>
      <c r="D38" s="55" t="s">
        <v>143</v>
      </c>
      <c r="E38" s="212">
        <v>2453430908</v>
      </c>
      <c r="F38" s="154"/>
      <c r="G38" s="176">
        <v>42503</v>
      </c>
      <c r="H38" s="254"/>
      <c r="I38" s="74">
        <f>131.28/111.82</f>
        <v>1.1740296905741372</v>
      </c>
      <c r="J38" s="32" t="s">
        <v>159</v>
      </c>
      <c r="K38" s="50">
        <f>+E38/I38</f>
        <v>2089752011.9786713</v>
      </c>
      <c r="L38" s="168"/>
      <c r="M38" s="54"/>
    </row>
    <row r="39" spans="1:13" ht="14.25" x14ac:dyDescent="0.2">
      <c r="A39" s="178" t="s">
        <v>534</v>
      </c>
      <c r="B39" s="355"/>
      <c r="C39" s="55" t="s">
        <v>142</v>
      </c>
      <c r="D39" s="55" t="s">
        <v>143</v>
      </c>
      <c r="E39" s="212">
        <v>3884800000</v>
      </c>
      <c r="F39" s="154"/>
      <c r="G39" s="176">
        <v>42510</v>
      </c>
      <c r="H39" s="254"/>
      <c r="I39" s="74">
        <f>131.28/111.82</f>
        <v>1.1740296905741372</v>
      </c>
      <c r="J39" s="32" t="s">
        <v>159</v>
      </c>
      <c r="K39" s="50">
        <f>+E39/I39</f>
        <v>3308945277.2699566</v>
      </c>
      <c r="L39" s="168"/>
      <c r="M39" s="54"/>
    </row>
    <row r="40" spans="1:13" ht="14.25" x14ac:dyDescent="0.2">
      <c r="A40" s="178" t="s">
        <v>534</v>
      </c>
      <c r="B40" s="355"/>
      <c r="C40" s="55" t="s">
        <v>142</v>
      </c>
      <c r="D40" s="55" t="s">
        <v>143</v>
      </c>
      <c r="E40" s="212">
        <v>3680146362</v>
      </c>
      <c r="F40" s="154"/>
      <c r="G40" s="176">
        <v>42510</v>
      </c>
      <c r="H40" s="254"/>
      <c r="I40" s="74">
        <f>131.28/111.82</f>
        <v>1.1740296905741372</v>
      </c>
      <c r="J40" s="32" t="s">
        <v>159</v>
      </c>
      <c r="K40" s="50">
        <f>+E40/I40</f>
        <v>3134628017.9680066</v>
      </c>
      <c r="L40" s="168"/>
      <c r="M40" s="54"/>
    </row>
    <row r="41" spans="1:13" ht="14.25" x14ac:dyDescent="0.2">
      <c r="A41" s="178" t="s">
        <v>534</v>
      </c>
      <c r="B41" s="355"/>
      <c r="C41" s="55" t="s">
        <v>142</v>
      </c>
      <c r="D41" s="55" t="s">
        <v>143</v>
      </c>
      <c r="E41" s="212">
        <v>1524124667</v>
      </c>
      <c r="F41" s="154"/>
      <c r="G41" s="176">
        <v>42536</v>
      </c>
      <c r="H41" s="254"/>
      <c r="I41" s="74">
        <f>131.95/111.82</f>
        <v>1.1800214630656412</v>
      </c>
      <c r="J41" s="32" t="s">
        <v>160</v>
      </c>
      <c r="K41" s="50">
        <f>+E41/I41</f>
        <v>1291607580.6285715</v>
      </c>
      <c r="L41" s="168"/>
      <c r="M41" s="54"/>
    </row>
    <row r="42" spans="1:13" ht="14.25" x14ac:dyDescent="0.2">
      <c r="A42" s="178" t="s">
        <v>534</v>
      </c>
      <c r="B42" s="355"/>
      <c r="C42" s="55" t="s">
        <v>142</v>
      </c>
      <c r="D42" s="55" t="s">
        <v>143</v>
      </c>
      <c r="E42" s="50">
        <v>2286187000</v>
      </c>
      <c r="F42" s="154"/>
      <c r="G42" s="176">
        <v>42545</v>
      </c>
      <c r="H42" s="254"/>
      <c r="I42" s="74">
        <f>131.95/111.82</f>
        <v>1.1800214630656412</v>
      </c>
      <c r="J42" s="32" t="s">
        <v>160</v>
      </c>
      <c r="K42" s="50">
        <f>+E42/I42</f>
        <v>1937411370.5191362</v>
      </c>
      <c r="L42" s="173"/>
      <c r="M42" s="54"/>
    </row>
    <row r="43" spans="1:13" ht="14.25" x14ac:dyDescent="0.2">
      <c r="A43" s="178" t="s">
        <v>534</v>
      </c>
      <c r="B43" s="355"/>
      <c r="C43" s="55" t="s">
        <v>142</v>
      </c>
      <c r="D43" s="55" t="s">
        <v>143</v>
      </c>
      <c r="E43" s="50">
        <v>2172591291</v>
      </c>
      <c r="F43" s="154"/>
      <c r="G43" s="176">
        <v>42545</v>
      </c>
      <c r="H43" s="254"/>
      <c r="I43" s="74">
        <f>131.95/111.82</f>
        <v>1.1800214630656412</v>
      </c>
      <c r="J43" s="32" t="s">
        <v>160</v>
      </c>
      <c r="K43" s="50">
        <f>+E43/I43</f>
        <v>1841145571.501478</v>
      </c>
      <c r="L43" s="173"/>
      <c r="M43" s="54"/>
    </row>
    <row r="44" spans="1:13" ht="14.25" x14ac:dyDescent="0.2">
      <c r="A44" s="178" t="s">
        <v>534</v>
      </c>
      <c r="B44" s="355"/>
      <c r="C44" s="55" t="s">
        <v>142</v>
      </c>
      <c r="D44" s="55" t="s">
        <v>143</v>
      </c>
      <c r="E44" s="50">
        <v>2300677333</v>
      </c>
      <c r="F44" s="154"/>
      <c r="G44" s="176">
        <v>42565</v>
      </c>
      <c r="H44" s="145"/>
      <c r="I44" s="74">
        <f>132.58/111.82</f>
        <v>1.1856555177964587</v>
      </c>
      <c r="J44" s="32" t="s">
        <v>161</v>
      </c>
      <c r="K44" s="50">
        <f>+E44/I44</f>
        <v>1940426454.7900133</v>
      </c>
      <c r="L44" s="168"/>
      <c r="M44" s="54"/>
    </row>
    <row r="45" spans="1:13" ht="14.25" x14ac:dyDescent="0.2">
      <c r="A45" s="178" t="s">
        <v>534</v>
      </c>
      <c r="B45" s="355"/>
      <c r="C45" s="55" t="s">
        <v>142</v>
      </c>
      <c r="D45" s="55" t="s">
        <v>143</v>
      </c>
      <c r="E45" s="50">
        <v>3451016000</v>
      </c>
      <c r="F45" s="154"/>
      <c r="G45" s="176">
        <v>42576</v>
      </c>
      <c r="H45" s="145"/>
      <c r="I45" s="74">
        <f>132.58/111.82</f>
        <v>1.1856555177964587</v>
      </c>
      <c r="J45" s="32" t="s">
        <v>161</v>
      </c>
      <c r="K45" s="50">
        <f>+E45/I45</f>
        <v>2910639682.6067276</v>
      </c>
      <c r="L45" s="168"/>
      <c r="M45" s="54"/>
    </row>
    <row r="46" spans="1:13" ht="14.25" x14ac:dyDescent="0.2">
      <c r="A46" s="178" t="s">
        <v>534</v>
      </c>
      <c r="B46" s="355"/>
      <c r="C46" s="55" t="s">
        <v>142</v>
      </c>
      <c r="D46" s="55" t="s">
        <v>143</v>
      </c>
      <c r="E46" s="50">
        <v>3451016000</v>
      </c>
      <c r="F46" s="154"/>
      <c r="G46" s="176">
        <v>42577</v>
      </c>
      <c r="H46" s="145"/>
      <c r="I46" s="74">
        <f>132.58/111.82</f>
        <v>1.1856555177964587</v>
      </c>
      <c r="J46" s="32" t="s">
        <v>161</v>
      </c>
      <c r="K46" s="50">
        <f>+E46/I46</f>
        <v>2910639682.6067276</v>
      </c>
      <c r="L46" s="168"/>
      <c r="M46" s="54"/>
    </row>
    <row r="47" spans="1:13" ht="14.25" x14ac:dyDescent="0.2">
      <c r="A47" s="178" t="s">
        <v>534</v>
      </c>
      <c r="B47" s="355"/>
      <c r="C47" s="55" t="s">
        <v>142</v>
      </c>
      <c r="D47" s="55" t="s">
        <v>143</v>
      </c>
      <c r="E47" s="50">
        <v>1592666667</v>
      </c>
      <c r="F47" s="154"/>
      <c r="G47" s="176">
        <v>42594</v>
      </c>
      <c r="H47" s="145"/>
      <c r="I47" s="74">
        <f>133.27/111.82</f>
        <v>1.1918261491683064</v>
      </c>
      <c r="J47" s="32" t="s">
        <v>162</v>
      </c>
      <c r="K47" s="50">
        <f>+E47/I47</f>
        <v>1336324654.4904327</v>
      </c>
      <c r="L47" s="168"/>
      <c r="M47" s="54"/>
    </row>
    <row r="48" spans="1:13" ht="14.25" x14ac:dyDescent="0.2">
      <c r="A48" s="178" t="s">
        <v>534</v>
      </c>
      <c r="B48" s="355"/>
      <c r="C48" s="55" t="s">
        <v>142</v>
      </c>
      <c r="D48" s="55" t="s">
        <v>143</v>
      </c>
      <c r="E48" s="50">
        <v>733125000</v>
      </c>
      <c r="F48" s="154"/>
      <c r="G48" s="176">
        <v>42601</v>
      </c>
      <c r="H48" s="145"/>
      <c r="I48" s="74">
        <f>133.27/111.82</f>
        <v>1.1918261491683064</v>
      </c>
      <c r="J48" s="32" t="s">
        <v>162</v>
      </c>
      <c r="K48" s="50">
        <f>+E48/I48</f>
        <v>615127466.79672837</v>
      </c>
      <c r="L48" s="168"/>
      <c r="M48" s="54"/>
    </row>
    <row r="49" spans="1:13" ht="14.25" x14ac:dyDescent="0.2">
      <c r="A49" s="178" t="s">
        <v>534</v>
      </c>
      <c r="B49" s="355"/>
      <c r="C49" s="55" t="s">
        <v>142</v>
      </c>
      <c r="D49" s="55" t="s">
        <v>143</v>
      </c>
      <c r="E49" s="50">
        <v>2360000000</v>
      </c>
      <c r="F49" s="154"/>
      <c r="G49" s="176">
        <v>42613</v>
      </c>
      <c r="H49" s="145"/>
      <c r="I49" s="74">
        <f>133.27/111.82</f>
        <v>1.1918261491683064</v>
      </c>
      <c r="J49" s="32" t="s">
        <v>162</v>
      </c>
      <c r="K49" s="50">
        <f>+E49/I49</f>
        <v>1980154573.4223752</v>
      </c>
      <c r="L49" s="168"/>
      <c r="M49" s="54"/>
    </row>
    <row r="50" spans="1:13" ht="14.25" x14ac:dyDescent="0.2">
      <c r="A50" s="178" t="s">
        <v>534</v>
      </c>
      <c r="B50" s="355"/>
      <c r="C50" s="55" t="s">
        <v>142</v>
      </c>
      <c r="D50" s="55" t="s">
        <v>143</v>
      </c>
      <c r="E50" s="50">
        <v>1655875000</v>
      </c>
      <c r="F50" s="154"/>
      <c r="G50" s="176">
        <v>42613</v>
      </c>
      <c r="H50" s="145"/>
      <c r="I50" s="74">
        <f>133.27/111.82</f>
        <v>1.1918261491683064</v>
      </c>
      <c r="J50" s="32" t="s">
        <v>162</v>
      </c>
      <c r="K50" s="50">
        <f>+E50/I50</f>
        <v>1389359514.5193965</v>
      </c>
      <c r="L50" s="168"/>
      <c r="M50" s="54"/>
    </row>
    <row r="51" spans="1:13" ht="14.25" x14ac:dyDescent="0.2">
      <c r="A51" s="178" t="s">
        <v>534</v>
      </c>
      <c r="B51" s="355"/>
      <c r="C51" s="55" t="s">
        <v>142</v>
      </c>
      <c r="D51" s="55" t="s">
        <v>143</v>
      </c>
      <c r="E51" s="50">
        <v>29000000</v>
      </c>
      <c r="F51" s="154"/>
      <c r="G51" s="176">
        <v>42614</v>
      </c>
      <c r="H51" s="145"/>
      <c r="I51" s="74">
        <f>132.85/111.82</f>
        <v>1.1880701126810946</v>
      </c>
      <c r="J51" s="32" t="s">
        <v>163</v>
      </c>
      <c r="K51" s="50">
        <f>+E51/I51</f>
        <v>24409333.835152429</v>
      </c>
      <c r="L51" s="168"/>
      <c r="M51" s="54"/>
    </row>
    <row r="52" spans="1:13" ht="14.25" x14ac:dyDescent="0.2">
      <c r="A52" s="178" t="s">
        <v>534</v>
      </c>
      <c r="B52" s="355"/>
      <c r="C52" s="55" t="s">
        <v>142</v>
      </c>
      <c r="D52" s="55" t="s">
        <v>143</v>
      </c>
      <c r="E52" s="50">
        <v>600000000</v>
      </c>
      <c r="F52" s="154"/>
      <c r="G52" s="176">
        <v>42627</v>
      </c>
      <c r="H52" s="145"/>
      <c r="I52" s="74">
        <f>132.85/111.82</f>
        <v>1.1880701126810946</v>
      </c>
      <c r="J52" s="32" t="s">
        <v>163</v>
      </c>
      <c r="K52" s="50">
        <f>+E52/I52</f>
        <v>505020700.0376364</v>
      </c>
      <c r="L52" s="168"/>
      <c r="M52" s="54"/>
    </row>
    <row r="53" spans="1:13" ht="14.25" x14ac:dyDescent="0.2">
      <c r="A53" s="178" t="s">
        <v>534</v>
      </c>
      <c r="B53" s="355"/>
      <c r="C53" s="55" t="s">
        <v>142</v>
      </c>
      <c r="D53" s="55" t="s">
        <v>143</v>
      </c>
      <c r="E53" s="50">
        <v>3570400000</v>
      </c>
      <c r="F53" s="154"/>
      <c r="G53" s="176">
        <v>42629</v>
      </c>
      <c r="H53" s="145"/>
      <c r="I53" s="74">
        <f>132.85/111.82</f>
        <v>1.1880701126810946</v>
      </c>
      <c r="J53" s="32" t="s">
        <v>163</v>
      </c>
      <c r="K53" s="50">
        <f>+E53/I53</f>
        <v>3005209845.6906285</v>
      </c>
      <c r="L53" s="168"/>
      <c r="M53" s="54"/>
    </row>
    <row r="54" spans="1:13" ht="14.25" x14ac:dyDescent="0.2">
      <c r="A54" s="178" t="s">
        <v>534</v>
      </c>
      <c r="B54" s="355"/>
      <c r="C54" s="55" t="s">
        <v>142</v>
      </c>
      <c r="D54" s="55" t="s">
        <v>143</v>
      </c>
      <c r="E54" s="50">
        <v>1780266667</v>
      </c>
      <c r="F54" s="154"/>
      <c r="G54" s="176">
        <v>42627</v>
      </c>
      <c r="H54" s="145"/>
      <c r="I54" s="74">
        <f>132.85/111.82</f>
        <v>1.1880701126810946</v>
      </c>
      <c r="J54" s="32" t="s">
        <v>163</v>
      </c>
      <c r="K54" s="50">
        <f>+E54/I54</f>
        <v>1498452530.7033496</v>
      </c>
      <c r="L54" s="168"/>
      <c r="M54" s="54"/>
    </row>
    <row r="55" spans="1:13" ht="14.25" x14ac:dyDescent="0.2">
      <c r="A55" s="178" t="s">
        <v>534</v>
      </c>
      <c r="B55" s="355"/>
      <c r="C55" s="55" t="s">
        <v>142</v>
      </c>
      <c r="D55" s="55" t="s">
        <v>143</v>
      </c>
      <c r="E55" s="50">
        <v>5000000000</v>
      </c>
      <c r="F55" s="154"/>
      <c r="G55" s="176">
        <v>42657</v>
      </c>
      <c r="H55" s="145"/>
      <c r="I55" s="74">
        <f>132.78/111.82</f>
        <v>1.1874441065998929</v>
      </c>
      <c r="J55" s="32" t="s">
        <v>164</v>
      </c>
      <c r="K55" s="50">
        <f>+E55/I55</f>
        <v>4210724506.702816</v>
      </c>
      <c r="L55" s="168"/>
      <c r="M55" s="54"/>
    </row>
    <row r="56" spans="1:13" ht="14.25" x14ac:dyDescent="0.2">
      <c r="A56" s="178" t="s">
        <v>534</v>
      </c>
      <c r="B56" s="355"/>
      <c r="C56" s="55" t="s">
        <v>142</v>
      </c>
      <c r="D56" s="55" t="s">
        <v>143</v>
      </c>
      <c r="E56" s="50">
        <v>2900000000</v>
      </c>
      <c r="F56" s="154"/>
      <c r="G56" s="176">
        <v>42661</v>
      </c>
      <c r="H56" s="145"/>
      <c r="I56" s="74">
        <f>132.78/111.82</f>
        <v>1.1874441065998929</v>
      </c>
      <c r="J56" s="32" t="s">
        <v>164</v>
      </c>
      <c r="K56" s="50">
        <f>+E56/I56</f>
        <v>2442220213.8876333</v>
      </c>
      <c r="L56" s="168"/>
      <c r="M56" s="54"/>
    </row>
    <row r="57" spans="1:13" ht="14.25" x14ac:dyDescent="0.2">
      <c r="A57" s="178" t="s">
        <v>534</v>
      </c>
      <c r="B57" s="355"/>
      <c r="C57" s="55" t="s">
        <v>142</v>
      </c>
      <c r="D57" s="55" t="s">
        <v>143</v>
      </c>
      <c r="E57" s="50">
        <v>3570400000</v>
      </c>
      <c r="F57" s="154"/>
      <c r="G57" s="176">
        <v>42664</v>
      </c>
      <c r="H57" s="145"/>
      <c r="I57" s="74">
        <f>132.78/111.82</f>
        <v>1.1874441065998929</v>
      </c>
      <c r="J57" s="32" t="s">
        <v>164</v>
      </c>
      <c r="K57" s="50">
        <f>+E57/I57</f>
        <v>3006794155.746347</v>
      </c>
      <c r="L57" s="168"/>
      <c r="M57" s="54"/>
    </row>
    <row r="58" spans="1:13" ht="15" x14ac:dyDescent="0.2">
      <c r="A58" s="178" t="s">
        <v>534</v>
      </c>
      <c r="B58" s="355"/>
      <c r="C58" s="55" t="s">
        <v>142</v>
      </c>
      <c r="D58" s="55" t="s">
        <v>143</v>
      </c>
      <c r="E58" s="50">
        <v>5000000000</v>
      </c>
      <c r="F58" s="154"/>
      <c r="G58" s="176">
        <v>42674</v>
      </c>
      <c r="H58" s="145"/>
      <c r="I58" s="74">
        <f>132.78/111.82</f>
        <v>1.1874441065998929</v>
      </c>
      <c r="J58" s="32" t="s">
        <v>164</v>
      </c>
      <c r="K58" s="50">
        <f>+E58/I58</f>
        <v>4210724506.702816</v>
      </c>
      <c r="L58" s="253"/>
      <c r="M58" s="54"/>
    </row>
    <row r="59" spans="1:13" ht="14.25" x14ac:dyDescent="0.2">
      <c r="A59" s="178" t="s">
        <v>534</v>
      </c>
      <c r="B59" s="355"/>
      <c r="C59" s="55" t="s">
        <v>142</v>
      </c>
      <c r="D59" s="55" t="s">
        <v>143</v>
      </c>
      <c r="E59" s="50">
        <v>433333333</v>
      </c>
      <c r="F59" s="154"/>
      <c r="G59" s="176">
        <v>42674</v>
      </c>
      <c r="H59" s="145"/>
      <c r="I59" s="74">
        <f>132.78/111.82</f>
        <v>1.1874441065998929</v>
      </c>
      <c r="J59" s="32" t="s">
        <v>164</v>
      </c>
      <c r="K59" s="50">
        <f>+E59/I59</f>
        <v>364929456.96686244</v>
      </c>
      <c r="L59" s="168"/>
      <c r="M59" s="54"/>
    </row>
    <row r="60" spans="1:13" ht="15" x14ac:dyDescent="0.2">
      <c r="A60" s="178" t="s">
        <v>534</v>
      </c>
      <c r="B60" s="355"/>
      <c r="C60" s="55" t="s">
        <v>142</v>
      </c>
      <c r="D60" s="55" t="s">
        <v>143</v>
      </c>
      <c r="E60" s="50">
        <v>1260000000</v>
      </c>
      <c r="F60" s="154"/>
      <c r="G60" s="176">
        <v>42689</v>
      </c>
      <c r="H60" s="145"/>
      <c r="I60" s="74">
        <f>132.7/111.82</f>
        <v>1.186728671078519</v>
      </c>
      <c r="J60" s="32" t="s">
        <v>165</v>
      </c>
      <c r="K60" s="50">
        <f>+E60/I60</f>
        <v>1061742275.8100981</v>
      </c>
      <c r="L60" s="253"/>
      <c r="M60" s="54"/>
    </row>
    <row r="61" spans="1:13" ht="14.25" x14ac:dyDescent="0.2">
      <c r="A61" s="178" t="s">
        <v>534</v>
      </c>
      <c r="B61" s="355"/>
      <c r="C61" s="55" t="s">
        <v>142</v>
      </c>
      <c r="D61" s="55" t="s">
        <v>143</v>
      </c>
      <c r="E61" s="50">
        <v>1890000000</v>
      </c>
      <c r="F61" s="252"/>
      <c r="G61" s="176">
        <v>42691</v>
      </c>
      <c r="H61" s="145"/>
      <c r="I61" s="74">
        <f>132.7/111.82</f>
        <v>1.186728671078519</v>
      </c>
      <c r="J61" s="32" t="s">
        <v>165</v>
      </c>
      <c r="K61" s="50">
        <f>+E61/I61</f>
        <v>1592613413.715147</v>
      </c>
      <c r="L61" s="168"/>
      <c r="M61" s="54"/>
    </row>
    <row r="62" spans="1:13" ht="14.25" x14ac:dyDescent="0.2">
      <c r="A62" s="178" t="s">
        <v>534</v>
      </c>
      <c r="B62" s="355"/>
      <c r="C62" s="55" t="s">
        <v>142</v>
      </c>
      <c r="D62" s="55" t="s">
        <v>143</v>
      </c>
      <c r="E62" s="50">
        <v>1890000000</v>
      </c>
      <c r="F62" s="154"/>
      <c r="G62" s="176">
        <v>42704</v>
      </c>
      <c r="H62" s="145"/>
      <c r="I62" s="74">
        <f>132.7/111.82</f>
        <v>1.186728671078519</v>
      </c>
      <c r="J62" s="32" t="s">
        <v>165</v>
      </c>
      <c r="K62" s="50">
        <f>+E62/I62</f>
        <v>1592613413.715147</v>
      </c>
      <c r="L62" s="168"/>
      <c r="M62" s="54"/>
    </row>
    <row r="63" spans="1:13" ht="14.25" x14ac:dyDescent="0.2">
      <c r="A63" s="178" t="s">
        <v>534</v>
      </c>
      <c r="B63" s="355"/>
      <c r="C63" s="55" t="s">
        <v>142</v>
      </c>
      <c r="D63" s="55" t="s">
        <v>143</v>
      </c>
      <c r="E63" s="50">
        <v>1440000000</v>
      </c>
      <c r="F63" s="154"/>
      <c r="G63" s="176">
        <v>42755</v>
      </c>
      <c r="H63" s="145"/>
      <c r="I63" s="74">
        <f>133.4/111.82</f>
        <v>1.1929887318905386</v>
      </c>
      <c r="J63" s="32" t="s">
        <v>166</v>
      </c>
      <c r="K63" s="50">
        <f>+E63/I63</f>
        <v>1207052473.7631183</v>
      </c>
      <c r="L63" s="168"/>
      <c r="M63" s="54"/>
    </row>
    <row r="64" spans="1:13" ht="14.25" x14ac:dyDescent="0.2">
      <c r="A64" s="178" t="s">
        <v>534</v>
      </c>
      <c r="B64" s="355"/>
      <c r="C64" s="55" t="s">
        <v>142</v>
      </c>
      <c r="D64" s="55" t="s">
        <v>143</v>
      </c>
      <c r="E64" s="50">
        <v>1440000000</v>
      </c>
      <c r="F64" s="154"/>
      <c r="G64" s="176">
        <v>42755</v>
      </c>
      <c r="H64" s="145"/>
      <c r="I64" s="74">
        <f>133.4/111.82</f>
        <v>1.1929887318905386</v>
      </c>
      <c r="J64" s="32" t="s">
        <v>166</v>
      </c>
      <c r="K64" s="50">
        <f>+E64/I64</f>
        <v>1207052473.7631183</v>
      </c>
      <c r="L64" s="168"/>
      <c r="M64" s="54"/>
    </row>
    <row r="65" spans="1:13" ht="14.25" x14ac:dyDescent="0.2">
      <c r="A65" s="178" t="s">
        <v>534</v>
      </c>
      <c r="B65" s="355"/>
      <c r="C65" s="55" t="s">
        <v>142</v>
      </c>
      <c r="D65" s="55" t="s">
        <v>143</v>
      </c>
      <c r="E65" s="50">
        <v>960000000</v>
      </c>
      <c r="F65" s="154"/>
      <c r="G65" s="176">
        <v>42767</v>
      </c>
      <c r="H65" s="145"/>
      <c r="I65" s="74">
        <f>134.77/111.82</f>
        <v>1.2052405651940621</v>
      </c>
      <c r="J65" s="32" t="s">
        <v>167</v>
      </c>
      <c r="K65" s="50">
        <f>+E65/I65</f>
        <v>796521481.04177475</v>
      </c>
      <c r="L65" s="168"/>
      <c r="M65" s="54"/>
    </row>
    <row r="66" spans="1:13" ht="14.25" x14ac:dyDescent="0.2">
      <c r="A66" s="178" t="s">
        <v>534</v>
      </c>
      <c r="B66" s="355"/>
      <c r="C66" s="55" t="s">
        <v>142</v>
      </c>
      <c r="D66" s="55" t="s">
        <v>143</v>
      </c>
      <c r="E66" s="50">
        <v>3450000000</v>
      </c>
      <c r="F66" s="154"/>
      <c r="G66" s="176">
        <v>42826</v>
      </c>
      <c r="H66" s="145"/>
      <c r="I66" s="74">
        <f>134.77/111.82</f>
        <v>1.2052405651940621</v>
      </c>
      <c r="J66" s="32" t="s">
        <v>168</v>
      </c>
      <c r="K66" s="50">
        <f>+E66/I66</f>
        <v>2862499072.4938779</v>
      </c>
      <c r="L66" s="168"/>
      <c r="M66" s="54"/>
    </row>
    <row r="67" spans="1:13" ht="14.25" x14ac:dyDescent="0.2">
      <c r="A67" s="178" t="s">
        <v>534</v>
      </c>
      <c r="B67" s="355"/>
      <c r="C67" s="55" t="s">
        <v>142</v>
      </c>
      <c r="D67" s="55" t="s">
        <v>143</v>
      </c>
      <c r="E67" s="50">
        <v>2300000000</v>
      </c>
      <c r="F67" s="251"/>
      <c r="G67" s="176">
        <v>42788</v>
      </c>
      <c r="H67" s="145"/>
      <c r="I67" s="74">
        <f>134.77/111.82</f>
        <v>1.2052405651940621</v>
      </c>
      <c r="J67" s="32" t="s">
        <v>168</v>
      </c>
      <c r="K67" s="50">
        <f>+E67/I67</f>
        <v>1908332714.9959188</v>
      </c>
      <c r="L67" s="168"/>
      <c r="M67" s="54"/>
    </row>
    <row r="68" spans="1:13" ht="14.25" x14ac:dyDescent="0.2">
      <c r="A68" s="178" t="s">
        <v>534</v>
      </c>
      <c r="B68" s="355"/>
      <c r="C68" s="55" t="s">
        <v>142</v>
      </c>
      <c r="D68" s="55" t="s">
        <v>143</v>
      </c>
      <c r="E68" s="50">
        <v>3450000000</v>
      </c>
      <c r="F68" s="154"/>
      <c r="G68" s="176">
        <v>42786</v>
      </c>
      <c r="H68" s="145"/>
      <c r="I68" s="74">
        <f>136.12/111.82</f>
        <v>1.2173135396172421</v>
      </c>
      <c r="J68" s="32" t="s">
        <v>168</v>
      </c>
      <c r="K68" s="50">
        <f>+E68/I68</f>
        <v>2834109609.1683807</v>
      </c>
      <c r="L68" s="168"/>
      <c r="M68" s="54"/>
    </row>
    <row r="69" spans="1:13" ht="14.25" x14ac:dyDescent="0.2">
      <c r="A69" s="178" t="s">
        <v>534</v>
      </c>
      <c r="B69" s="355"/>
      <c r="C69" s="55" t="s">
        <v>142</v>
      </c>
      <c r="D69" s="55" t="s">
        <v>143</v>
      </c>
      <c r="E69" s="50">
        <v>330000000</v>
      </c>
      <c r="F69" s="251"/>
      <c r="G69" s="176">
        <v>42842</v>
      </c>
      <c r="H69" s="145"/>
      <c r="I69" s="74">
        <f>136.76/111.82</f>
        <v>1.2230370237882311</v>
      </c>
      <c r="J69" s="32" t="s">
        <v>168</v>
      </c>
      <c r="K69" s="50">
        <f>+E69/I69</f>
        <v>269820122.84293652</v>
      </c>
      <c r="L69" s="168"/>
      <c r="M69" s="54"/>
    </row>
    <row r="70" spans="1:13" ht="14.25" x14ac:dyDescent="0.2">
      <c r="A70" s="178" t="s">
        <v>534</v>
      </c>
      <c r="B70" s="355"/>
      <c r="C70" s="55" t="s">
        <v>142</v>
      </c>
      <c r="D70" s="55" t="s">
        <v>143</v>
      </c>
      <c r="E70" s="50">
        <v>90000000</v>
      </c>
      <c r="F70" s="154"/>
      <c r="G70" s="176">
        <v>42849</v>
      </c>
      <c r="H70" s="145"/>
      <c r="I70" s="74">
        <f>136.76/111.82</f>
        <v>1.2230370237882311</v>
      </c>
      <c r="J70" s="32" t="s">
        <v>168</v>
      </c>
      <c r="K70" s="50">
        <f>+E70/I70</f>
        <v>73587306.229891777</v>
      </c>
      <c r="L70" s="168"/>
      <c r="M70" s="54"/>
    </row>
    <row r="71" spans="1:13" ht="14.25" x14ac:dyDescent="0.2">
      <c r="A71" s="178" t="s">
        <v>534</v>
      </c>
      <c r="B71" s="355"/>
      <c r="C71" s="55" t="s">
        <v>142</v>
      </c>
      <c r="D71" s="55" t="s">
        <v>143</v>
      </c>
      <c r="E71" s="50">
        <v>420000000</v>
      </c>
      <c r="F71" s="251"/>
      <c r="G71" s="176">
        <v>42851</v>
      </c>
      <c r="H71" s="145"/>
      <c r="I71" s="74">
        <f>136.76/111.82</f>
        <v>1.2230370237882311</v>
      </c>
      <c r="J71" s="32" t="s">
        <v>168</v>
      </c>
      <c r="K71" s="50">
        <f>+E71/I71</f>
        <v>343407429.07282829</v>
      </c>
      <c r="L71" s="168"/>
      <c r="M71" s="54"/>
    </row>
    <row r="72" spans="1:13" ht="14.25" x14ac:dyDescent="0.2">
      <c r="A72" s="178" t="s">
        <v>534</v>
      </c>
      <c r="B72" s="355"/>
      <c r="C72" s="55" t="s">
        <v>142</v>
      </c>
      <c r="D72" s="55" t="s">
        <v>143</v>
      </c>
      <c r="E72" s="50">
        <v>75000000</v>
      </c>
      <c r="F72" s="154"/>
      <c r="G72" s="176">
        <v>42858</v>
      </c>
      <c r="H72" s="145"/>
      <c r="I72" s="74">
        <f>137.4/111.82</f>
        <v>1.2287605079592203</v>
      </c>
      <c r="J72" s="32" t="s">
        <v>169</v>
      </c>
      <c r="K72" s="50">
        <f>+E72/I72</f>
        <v>61037117.903930128</v>
      </c>
      <c r="L72" s="168"/>
      <c r="M72" s="54"/>
    </row>
    <row r="73" spans="1:13" ht="14.25" x14ac:dyDescent="0.2">
      <c r="A73" s="178" t="s">
        <v>534</v>
      </c>
      <c r="B73" s="355"/>
      <c r="C73" s="55" t="s">
        <v>142</v>
      </c>
      <c r="D73" s="55" t="s">
        <v>143</v>
      </c>
      <c r="E73" s="50">
        <v>280000000</v>
      </c>
      <c r="F73" s="154"/>
      <c r="G73" s="176">
        <v>42859</v>
      </c>
      <c r="H73" s="145"/>
      <c r="I73" s="74">
        <f>137.4/111.82</f>
        <v>1.2287605079592203</v>
      </c>
      <c r="J73" s="32" t="s">
        <v>169</v>
      </c>
      <c r="K73" s="50">
        <f>+E73/I73</f>
        <v>227871906.84133914</v>
      </c>
      <c r="L73" s="168"/>
      <c r="M73" s="54"/>
    </row>
    <row r="74" spans="1:13" ht="14.25" x14ac:dyDescent="0.2">
      <c r="A74" s="178" t="s">
        <v>534</v>
      </c>
      <c r="B74" s="355"/>
      <c r="C74" s="55" t="s">
        <v>142</v>
      </c>
      <c r="D74" s="55" t="s">
        <v>143</v>
      </c>
      <c r="E74" s="50">
        <v>50000000</v>
      </c>
      <c r="F74" s="154"/>
      <c r="G74" s="176">
        <v>42860</v>
      </c>
      <c r="H74" s="145"/>
      <c r="I74" s="74">
        <f>137.4/111.82</f>
        <v>1.2287605079592203</v>
      </c>
      <c r="J74" s="32" t="s">
        <v>169</v>
      </c>
      <c r="K74" s="50">
        <f>+E74/I74</f>
        <v>40691411.935953416</v>
      </c>
      <c r="L74" s="168"/>
      <c r="M74" s="54"/>
    </row>
    <row r="75" spans="1:13" ht="14.25" x14ac:dyDescent="0.2">
      <c r="A75" s="178" t="s">
        <v>534</v>
      </c>
      <c r="B75" s="355"/>
      <c r="C75" s="55" t="s">
        <v>142</v>
      </c>
      <c r="D75" s="55" t="s">
        <v>143</v>
      </c>
      <c r="E75" s="50">
        <v>187500000</v>
      </c>
      <c r="F75" s="154"/>
      <c r="G75" s="176">
        <v>42864</v>
      </c>
      <c r="H75" s="145"/>
      <c r="I75" s="74">
        <f>137.4/111.82</f>
        <v>1.2287605079592203</v>
      </c>
      <c r="J75" s="32" t="s">
        <v>169</v>
      </c>
      <c r="K75" s="50">
        <f>+E75/I75</f>
        <v>152592794.75982532</v>
      </c>
      <c r="L75" s="168"/>
      <c r="M75" s="54"/>
    </row>
    <row r="76" spans="1:13" ht="14.25" x14ac:dyDescent="0.2">
      <c r="A76" s="178" t="s">
        <v>534</v>
      </c>
      <c r="B76" s="355"/>
      <c r="C76" s="55" t="s">
        <v>142</v>
      </c>
      <c r="D76" s="55" t="s">
        <v>143</v>
      </c>
      <c r="E76" s="50">
        <v>100000000</v>
      </c>
      <c r="F76" s="154"/>
      <c r="G76" s="176">
        <v>42867</v>
      </c>
      <c r="H76" s="145"/>
      <c r="I76" s="74">
        <f>137.4/111.82</f>
        <v>1.2287605079592203</v>
      </c>
      <c r="J76" s="32" t="s">
        <v>169</v>
      </c>
      <c r="K76" s="50">
        <f>+E76/I76</f>
        <v>81382823.871906832</v>
      </c>
      <c r="L76" s="168"/>
      <c r="M76" s="54"/>
    </row>
    <row r="77" spans="1:13" ht="14.25" x14ac:dyDescent="0.2">
      <c r="A77" s="178" t="s">
        <v>534</v>
      </c>
      <c r="B77" s="355"/>
      <c r="C77" s="55" t="s">
        <v>142</v>
      </c>
      <c r="D77" s="55" t="s">
        <v>143</v>
      </c>
      <c r="E77" s="50">
        <v>187500000</v>
      </c>
      <c r="F77" s="154"/>
      <c r="G77" s="176">
        <v>42871</v>
      </c>
      <c r="H77" s="145"/>
      <c r="I77" s="74">
        <f>137.4/111.82</f>
        <v>1.2287605079592203</v>
      </c>
      <c r="J77" s="32" t="s">
        <v>169</v>
      </c>
      <c r="K77" s="50">
        <f>+E77/I77</f>
        <v>152592794.75982532</v>
      </c>
      <c r="L77" s="168"/>
      <c r="M77" s="54"/>
    </row>
    <row r="78" spans="1:13" ht="14.25" x14ac:dyDescent="0.2">
      <c r="A78" s="178" t="s">
        <v>534</v>
      </c>
      <c r="B78" s="355"/>
      <c r="C78" s="55" t="s">
        <v>142</v>
      </c>
      <c r="D78" s="55" t="s">
        <v>143</v>
      </c>
      <c r="E78" s="50">
        <v>90000000</v>
      </c>
      <c r="F78" s="154"/>
      <c r="G78" s="176">
        <v>42871</v>
      </c>
      <c r="H78" s="145"/>
      <c r="I78" s="74">
        <f>137.4/111.82</f>
        <v>1.2287605079592203</v>
      </c>
      <c r="J78" s="32" t="s">
        <v>169</v>
      </c>
      <c r="K78" s="50">
        <f>+E78/I78</f>
        <v>73244541.484716147</v>
      </c>
      <c r="L78" s="168"/>
      <c r="M78" s="54"/>
    </row>
    <row r="79" spans="1:13" ht="14.25" x14ac:dyDescent="0.2">
      <c r="A79" s="178" t="s">
        <v>534</v>
      </c>
      <c r="B79" s="355"/>
      <c r="C79" s="55" t="s">
        <v>142</v>
      </c>
      <c r="D79" s="55" t="s">
        <v>143</v>
      </c>
      <c r="E79" s="50">
        <v>25000000</v>
      </c>
      <c r="F79" s="251"/>
      <c r="G79" s="176">
        <v>42873</v>
      </c>
      <c r="H79" s="145"/>
      <c r="I79" s="74">
        <f>137.4/111.82</f>
        <v>1.2287605079592203</v>
      </c>
      <c r="J79" s="32" t="s">
        <v>169</v>
      </c>
      <c r="K79" s="50">
        <f>+E79/I79</f>
        <v>20345705.967976708</v>
      </c>
      <c r="L79" s="168"/>
      <c r="M79" s="54"/>
    </row>
    <row r="80" spans="1:13" ht="14.25" x14ac:dyDescent="0.2">
      <c r="A80" s="178" t="s">
        <v>534</v>
      </c>
      <c r="B80" s="355"/>
      <c r="C80" s="55" t="s">
        <v>142</v>
      </c>
      <c r="D80" s="55" t="s">
        <v>143</v>
      </c>
      <c r="E80" s="50">
        <v>15000000</v>
      </c>
      <c r="F80" s="251"/>
      <c r="G80" s="176">
        <v>43010</v>
      </c>
      <c r="H80" s="145"/>
      <c r="I80" s="74">
        <f>138.05/111.82</f>
        <v>1.2345734215703812</v>
      </c>
      <c r="J80" s="32" t="s">
        <v>170</v>
      </c>
      <c r="K80" s="50">
        <f>+E80/I80</f>
        <v>12149945.67185802</v>
      </c>
      <c r="L80" s="168"/>
      <c r="M80" s="54"/>
    </row>
    <row r="81" spans="1:13" ht="14.25" x14ac:dyDescent="0.2">
      <c r="A81" s="178" t="s">
        <v>534</v>
      </c>
      <c r="B81" s="355"/>
      <c r="C81" s="55" t="s">
        <v>142</v>
      </c>
      <c r="D81" s="55" t="s">
        <v>143</v>
      </c>
      <c r="E81" s="50">
        <v>10000000</v>
      </c>
      <c r="F81" s="251"/>
      <c r="G81" s="176">
        <v>43039</v>
      </c>
      <c r="H81" s="145"/>
      <c r="I81" s="74">
        <f>138.05/111.82</f>
        <v>1.2345734215703812</v>
      </c>
      <c r="J81" s="32" t="s">
        <v>171</v>
      </c>
      <c r="K81" s="50">
        <f>+E81/I81</f>
        <v>8099963.7812386798</v>
      </c>
      <c r="L81" s="168"/>
      <c r="M81" s="54"/>
    </row>
    <row r="82" spans="1:13" ht="14.25" x14ac:dyDescent="0.2">
      <c r="A82" s="178" t="s">
        <v>534</v>
      </c>
      <c r="B82" s="355" t="s">
        <v>1372</v>
      </c>
      <c r="C82" s="55" t="s">
        <v>142</v>
      </c>
      <c r="D82" s="55" t="s">
        <v>143</v>
      </c>
      <c r="E82" s="50">
        <v>3504000000</v>
      </c>
      <c r="F82" s="154"/>
      <c r="G82" s="176">
        <v>43200</v>
      </c>
      <c r="H82" s="145"/>
      <c r="I82" s="74">
        <f>141.05/111.82</f>
        <v>1.2614022536218925</v>
      </c>
      <c r="J82" s="32" t="s">
        <v>172</v>
      </c>
      <c r="K82" s="50">
        <f>+E82/I82</f>
        <v>2777860900.3899322</v>
      </c>
      <c r="L82" s="168" t="s">
        <v>307</v>
      </c>
      <c r="M82" s="54" t="s">
        <v>1039</v>
      </c>
    </row>
    <row r="83" spans="1:13" ht="14.25" x14ac:dyDescent="0.2">
      <c r="A83" s="178" t="s">
        <v>534</v>
      </c>
      <c r="B83" s="355" t="s">
        <v>1372</v>
      </c>
      <c r="C83" s="55" t="s">
        <v>142</v>
      </c>
      <c r="D83" s="55" t="s">
        <v>143</v>
      </c>
      <c r="E83" s="50">
        <v>3504000000</v>
      </c>
      <c r="F83" s="154"/>
      <c r="G83" s="176">
        <v>43200</v>
      </c>
      <c r="H83" s="145"/>
      <c r="I83" s="74">
        <f>141.05/111.82</f>
        <v>1.2614022536218925</v>
      </c>
      <c r="J83" s="32" t="s">
        <v>172</v>
      </c>
      <c r="K83" s="50">
        <f>+E83/I83</f>
        <v>2777860900.3899322</v>
      </c>
      <c r="L83" s="168" t="s">
        <v>307</v>
      </c>
      <c r="M83" s="54" t="s">
        <v>1039</v>
      </c>
    </row>
    <row r="84" spans="1:13" ht="14.25" x14ac:dyDescent="0.2">
      <c r="A84" s="178" t="s">
        <v>534</v>
      </c>
      <c r="B84" s="355" t="s">
        <v>1372</v>
      </c>
      <c r="C84" s="55" t="s">
        <v>142</v>
      </c>
      <c r="D84" s="55" t="s">
        <v>143</v>
      </c>
      <c r="E84" s="50">
        <v>2336000000</v>
      </c>
      <c r="F84" s="154"/>
      <c r="G84" s="176">
        <v>43196</v>
      </c>
      <c r="H84" s="145"/>
      <c r="I84" s="74">
        <f>141.05/111.82</f>
        <v>1.2614022536218925</v>
      </c>
      <c r="J84" s="32" t="s">
        <v>172</v>
      </c>
      <c r="K84" s="50">
        <f>+E84/I84</f>
        <v>1851907266.9266214</v>
      </c>
      <c r="L84" s="168" t="s">
        <v>307</v>
      </c>
      <c r="M84" s="54" t="s">
        <v>1039</v>
      </c>
    </row>
    <row r="85" spans="1:13" ht="14.25" x14ac:dyDescent="0.2">
      <c r="A85" s="178" t="s">
        <v>534</v>
      </c>
      <c r="B85" s="355" t="s">
        <v>1372</v>
      </c>
      <c r="C85" s="55" t="s">
        <v>142</v>
      </c>
      <c r="D85" s="55" t="s">
        <v>143</v>
      </c>
      <c r="E85" s="50">
        <v>18750000000</v>
      </c>
      <c r="F85" s="154"/>
      <c r="G85" s="176">
        <v>43304</v>
      </c>
      <c r="H85" s="145"/>
      <c r="I85" s="74">
        <f>142.28/111.82</f>
        <v>1.272402074763012</v>
      </c>
      <c r="J85" s="32" t="s">
        <v>305</v>
      </c>
      <c r="K85" s="50">
        <f>+E85/I85</f>
        <v>14735908068.597132</v>
      </c>
      <c r="L85" s="168" t="s">
        <v>307</v>
      </c>
      <c r="M85" s="54" t="s">
        <v>1038</v>
      </c>
    </row>
    <row r="86" spans="1:13" ht="14.25" x14ac:dyDescent="0.2">
      <c r="A86" s="178" t="s">
        <v>534</v>
      </c>
      <c r="B86" s="355" t="s">
        <v>1372</v>
      </c>
      <c r="C86" s="55" t="s">
        <v>142</v>
      </c>
      <c r="D86" s="55" t="s">
        <v>143</v>
      </c>
      <c r="E86" s="50">
        <v>6250000000</v>
      </c>
      <c r="F86" s="154"/>
      <c r="G86" s="176">
        <v>43326</v>
      </c>
      <c r="H86" s="145"/>
      <c r="I86" s="74">
        <f>142.1/111.82</f>
        <v>1.2707923448399214</v>
      </c>
      <c r="J86" s="32" t="s">
        <v>308</v>
      </c>
      <c r="K86" s="50">
        <f>+E86/I86</f>
        <v>4918191414.4968328</v>
      </c>
      <c r="L86" s="168" t="s">
        <v>307</v>
      </c>
      <c r="M86" s="54" t="s">
        <v>1037</v>
      </c>
    </row>
    <row r="87" spans="1:13" ht="14.25" x14ac:dyDescent="0.2">
      <c r="A87" s="178" t="s">
        <v>534</v>
      </c>
      <c r="B87" s="355" t="s">
        <v>1372</v>
      </c>
      <c r="C87" s="55" t="s">
        <v>142</v>
      </c>
      <c r="D87" s="55" t="s">
        <v>143</v>
      </c>
      <c r="E87" s="50">
        <v>1200000000</v>
      </c>
      <c r="F87" s="154"/>
      <c r="G87" s="176">
        <v>43349</v>
      </c>
      <c r="H87" s="145"/>
      <c r="I87" s="74">
        <f>142.27/111.82</f>
        <v>1.2723126453228404</v>
      </c>
      <c r="J87" s="32" t="s">
        <v>309</v>
      </c>
      <c r="K87" s="50">
        <f>+E87/I87</f>
        <v>943164405.70745754</v>
      </c>
      <c r="L87" s="168" t="s">
        <v>307</v>
      </c>
      <c r="M87" s="54" t="s">
        <v>1036</v>
      </c>
    </row>
    <row r="88" spans="1:13" ht="14.25" x14ac:dyDescent="0.2">
      <c r="A88" s="178" t="s">
        <v>534</v>
      </c>
      <c r="B88" s="355" t="s">
        <v>1372</v>
      </c>
      <c r="C88" s="55" t="s">
        <v>142</v>
      </c>
      <c r="D88" s="55" t="s">
        <v>143</v>
      </c>
      <c r="E88" s="50">
        <v>31260000000</v>
      </c>
      <c r="F88" s="154"/>
      <c r="G88" s="176">
        <v>43350</v>
      </c>
      <c r="H88" s="145"/>
      <c r="I88" s="74">
        <f>142.27/111.82</f>
        <v>1.2723126453228404</v>
      </c>
      <c r="J88" s="32" t="s">
        <v>309</v>
      </c>
      <c r="K88" s="50">
        <f>+E88/I88</f>
        <v>24569432768.679268</v>
      </c>
      <c r="L88" s="168" t="s">
        <v>307</v>
      </c>
      <c r="M88" s="54" t="s">
        <v>1036</v>
      </c>
    </row>
    <row r="89" spans="1:13" ht="14.25" x14ac:dyDescent="0.2">
      <c r="A89" s="178" t="s">
        <v>534</v>
      </c>
      <c r="B89" s="355" t="s">
        <v>1372</v>
      </c>
      <c r="C89" s="55" t="s">
        <v>142</v>
      </c>
      <c r="D89" s="55" t="s">
        <v>143</v>
      </c>
      <c r="E89" s="50">
        <v>774948587</v>
      </c>
      <c r="F89" s="154"/>
      <c r="G89" s="176">
        <v>43367</v>
      </c>
      <c r="H89" s="145"/>
      <c r="I89" s="74">
        <f>142.27/111.82</f>
        <v>1.2723126453228404</v>
      </c>
      <c r="J89" s="32" t="s">
        <v>309</v>
      </c>
      <c r="K89" s="50">
        <f>+E89/I89</f>
        <v>609086602.92640746</v>
      </c>
      <c r="L89" s="168" t="s">
        <v>307</v>
      </c>
      <c r="M89" s="54" t="s">
        <v>1035</v>
      </c>
    </row>
    <row r="90" spans="1:13" ht="14.25" x14ac:dyDescent="0.2">
      <c r="A90" s="178" t="s">
        <v>534</v>
      </c>
      <c r="B90" s="355" t="s">
        <v>1372</v>
      </c>
      <c r="C90" s="55" t="s">
        <v>142</v>
      </c>
      <c r="D90" s="55" t="s">
        <v>143</v>
      </c>
      <c r="E90" s="50">
        <v>500000000</v>
      </c>
      <c r="F90" s="154"/>
      <c r="G90" s="176">
        <v>43368</v>
      </c>
      <c r="H90" s="145"/>
      <c r="I90" s="74">
        <f>142.27/111.82</f>
        <v>1.2723126453228404</v>
      </c>
      <c r="J90" s="32" t="s">
        <v>309</v>
      </c>
      <c r="K90" s="50">
        <f>+E90/I90</f>
        <v>392985169.044774</v>
      </c>
      <c r="L90" s="168" t="s">
        <v>307</v>
      </c>
      <c r="M90" s="54" t="s">
        <v>1035</v>
      </c>
    </row>
    <row r="91" spans="1:13" ht="14.25" x14ac:dyDescent="0.2">
      <c r="A91" s="178" t="s">
        <v>534</v>
      </c>
      <c r="B91" s="355" t="s">
        <v>1372</v>
      </c>
      <c r="C91" s="55" t="s">
        <v>142</v>
      </c>
      <c r="D91" s="55" t="s">
        <v>143</v>
      </c>
      <c r="E91" s="50">
        <v>15938500</v>
      </c>
      <c r="F91" s="154"/>
      <c r="G91" s="176">
        <v>43369</v>
      </c>
      <c r="H91" s="145"/>
      <c r="I91" s="74">
        <f>142.27/111.82</f>
        <v>1.2723126453228404</v>
      </c>
      <c r="J91" s="32" t="s">
        <v>309</v>
      </c>
      <c r="K91" s="50">
        <f>+E91/I91</f>
        <v>12527188.233640261</v>
      </c>
      <c r="L91" s="168" t="s">
        <v>307</v>
      </c>
      <c r="M91" s="54" t="s">
        <v>1035</v>
      </c>
    </row>
    <row r="92" spans="1:13" ht="14.25" x14ac:dyDescent="0.2">
      <c r="A92" s="178" t="s">
        <v>534</v>
      </c>
      <c r="B92" s="355" t="s">
        <v>1372</v>
      </c>
      <c r="C92" s="55" t="s">
        <v>142</v>
      </c>
      <c r="D92" s="55" t="s">
        <v>143</v>
      </c>
      <c r="E92" s="50">
        <v>3849112913</v>
      </c>
      <c r="F92" s="154"/>
      <c r="G92" s="176">
        <v>43370</v>
      </c>
      <c r="H92" s="145"/>
      <c r="I92" s="74">
        <f>142.27/111.82</f>
        <v>1.2723126453228404</v>
      </c>
      <c r="J92" s="32" t="s">
        <v>309</v>
      </c>
      <c r="K92" s="50">
        <f>+E92/I92</f>
        <v>3025288577.5754547</v>
      </c>
      <c r="L92" s="168" t="s">
        <v>307</v>
      </c>
      <c r="M92" s="54" t="s">
        <v>1035</v>
      </c>
    </row>
    <row r="93" spans="1:13" ht="14.25" x14ac:dyDescent="0.2">
      <c r="A93" s="178" t="s">
        <v>534</v>
      </c>
      <c r="B93" s="355" t="s">
        <v>1372</v>
      </c>
      <c r="C93" s="55" t="s">
        <v>142</v>
      </c>
      <c r="D93" s="55" t="s">
        <v>143</v>
      </c>
      <c r="E93" s="50">
        <v>22318303139</v>
      </c>
      <c r="F93" s="154"/>
      <c r="G93" s="176">
        <v>43383</v>
      </c>
      <c r="H93" s="145"/>
      <c r="I93" s="74">
        <f>142.5/111.82</f>
        <v>1.2743695224467895</v>
      </c>
      <c r="J93" s="32" t="s">
        <v>315</v>
      </c>
      <c r="K93" s="50">
        <f>+E93/I93</f>
        <v>17513211628.091087</v>
      </c>
      <c r="L93" s="168"/>
      <c r="M93" s="54" t="s">
        <v>1034</v>
      </c>
    </row>
    <row r="94" spans="1:13" ht="14.25" x14ac:dyDescent="0.2">
      <c r="A94" s="178" t="s">
        <v>534</v>
      </c>
      <c r="B94" s="355" t="s">
        <v>1372</v>
      </c>
      <c r="C94" s="55" t="s">
        <v>142</v>
      </c>
      <c r="D94" s="55" t="s">
        <v>143</v>
      </c>
      <c r="E94" s="50">
        <v>134904238</v>
      </c>
      <c r="F94" s="154"/>
      <c r="G94" s="176">
        <v>43383</v>
      </c>
      <c r="H94" s="145"/>
      <c r="I94" s="74">
        <f>142.5/111.82</f>
        <v>1.2743695224467895</v>
      </c>
      <c r="J94" s="32" t="s">
        <v>315</v>
      </c>
      <c r="K94" s="50">
        <f>+E94/I94</f>
        <v>105859592.23270175</v>
      </c>
      <c r="L94" s="168"/>
      <c r="M94" s="54" t="s">
        <v>1034</v>
      </c>
    </row>
    <row r="95" spans="1:13" ht="14.25" x14ac:dyDescent="0.2">
      <c r="A95" s="178" t="s">
        <v>534</v>
      </c>
      <c r="B95" s="355" t="s">
        <v>1372</v>
      </c>
      <c r="C95" s="55" t="s">
        <v>142</v>
      </c>
      <c r="D95" s="55" t="s">
        <v>143</v>
      </c>
      <c r="E95" s="50">
        <v>22183398901</v>
      </c>
      <c r="F95" s="154"/>
      <c r="G95" s="176">
        <v>43383</v>
      </c>
      <c r="H95" s="145"/>
      <c r="I95" s="74">
        <f>142.5/111.82</f>
        <v>1.2743695224467895</v>
      </c>
      <c r="J95" s="32" t="s">
        <v>315</v>
      </c>
      <c r="K95" s="50">
        <f>+E95/I95</f>
        <v>17407352035.858387</v>
      </c>
      <c r="L95" s="168"/>
      <c r="M95" s="54" t="s">
        <v>1034</v>
      </c>
    </row>
    <row r="96" spans="1:13" ht="14.25" x14ac:dyDescent="0.2">
      <c r="A96" s="178" t="s">
        <v>534</v>
      </c>
      <c r="B96" s="355" t="s">
        <v>1372</v>
      </c>
      <c r="C96" s="55" t="s">
        <v>142</v>
      </c>
      <c r="D96" s="55" t="s">
        <v>143</v>
      </c>
      <c r="E96" s="50">
        <v>385000000</v>
      </c>
      <c r="F96" s="154"/>
      <c r="G96" s="176">
        <v>43399</v>
      </c>
      <c r="H96" s="145"/>
      <c r="I96" s="74">
        <f>142.5/111.82</f>
        <v>1.2743695224467895</v>
      </c>
      <c r="J96" s="32" t="s">
        <v>315</v>
      </c>
      <c r="K96" s="50">
        <f>+E96/I96</f>
        <v>302110175.43859649</v>
      </c>
      <c r="L96" s="168" t="s">
        <v>307</v>
      </c>
      <c r="M96" s="54"/>
    </row>
    <row r="97" spans="1:14" ht="14.25" x14ac:dyDescent="0.2">
      <c r="A97" s="178" t="s">
        <v>534</v>
      </c>
      <c r="B97" s="355" t="s">
        <v>1372</v>
      </c>
      <c r="C97" s="55" t="s">
        <v>142</v>
      </c>
      <c r="D97" s="55" t="s">
        <v>143</v>
      </c>
      <c r="E97" s="50">
        <v>14493870000</v>
      </c>
      <c r="F97" s="154"/>
      <c r="G97" s="176">
        <v>43431</v>
      </c>
      <c r="H97" s="145"/>
      <c r="I97" s="74">
        <f>142.67/111.82</f>
        <v>1.2758898229297084</v>
      </c>
      <c r="J97" s="32" t="s">
        <v>320</v>
      </c>
      <c r="K97" s="50">
        <f>+E97/I97</f>
        <v>11359813159.03834</v>
      </c>
      <c r="L97" s="168" t="s">
        <v>307</v>
      </c>
      <c r="M97" s="54" t="s">
        <v>1033</v>
      </c>
    </row>
    <row r="98" spans="1:14" ht="14.25" x14ac:dyDescent="0.2">
      <c r="A98" s="178" t="s">
        <v>534</v>
      </c>
      <c r="B98" s="355" t="s">
        <v>1372</v>
      </c>
      <c r="C98" s="55" t="s">
        <v>142</v>
      </c>
      <c r="D98" s="55" t="s">
        <v>143</v>
      </c>
      <c r="E98" s="50">
        <v>4980000000</v>
      </c>
      <c r="F98" s="154"/>
      <c r="G98" s="176">
        <v>43494</v>
      </c>
      <c r="H98" s="145"/>
      <c r="I98" s="74">
        <f>100/78.05</f>
        <v>1.2812299807815504</v>
      </c>
      <c r="J98" s="32" t="s">
        <v>336</v>
      </c>
      <c r="K98" s="50">
        <f>+E98/I98</f>
        <v>3886889999.9999995</v>
      </c>
      <c r="L98" s="168" t="s">
        <v>342</v>
      </c>
      <c r="M98" s="54" t="s">
        <v>1032</v>
      </c>
    </row>
    <row r="99" spans="1:14" ht="14.25" x14ac:dyDescent="0.2">
      <c r="A99" s="178" t="s">
        <v>534</v>
      </c>
      <c r="B99" s="355" t="s">
        <v>1372</v>
      </c>
      <c r="C99" s="55" t="s">
        <v>142</v>
      </c>
      <c r="D99" s="55" t="s">
        <v>143</v>
      </c>
      <c r="E99" s="50">
        <v>645000000</v>
      </c>
      <c r="F99" s="154"/>
      <c r="G99" s="176">
        <v>43495</v>
      </c>
      <c r="H99" s="145"/>
      <c r="I99" s="74">
        <f>100/78.05</f>
        <v>1.2812299807815504</v>
      </c>
      <c r="J99" s="32" t="s">
        <v>336</v>
      </c>
      <c r="K99" s="50">
        <f>+E99/I99</f>
        <v>503422499.99999994</v>
      </c>
      <c r="L99" s="168" t="s">
        <v>342</v>
      </c>
      <c r="M99" s="54" t="s">
        <v>1032</v>
      </c>
    </row>
    <row r="100" spans="1:14" ht="14.25" x14ac:dyDescent="0.2">
      <c r="A100" s="178" t="s">
        <v>534</v>
      </c>
      <c r="B100" s="355" t="s">
        <v>1372</v>
      </c>
      <c r="C100" s="55" t="s">
        <v>142</v>
      </c>
      <c r="D100" s="55" t="s">
        <v>143</v>
      </c>
      <c r="E100" s="50">
        <v>16875000000</v>
      </c>
      <c r="F100" s="154"/>
      <c r="G100" s="176">
        <v>43497</v>
      </c>
      <c r="H100" s="145"/>
      <c r="I100" s="74">
        <f>100/78.05</f>
        <v>1.2812299807815504</v>
      </c>
      <c r="J100" s="32" t="s">
        <v>336</v>
      </c>
      <c r="K100" s="50">
        <f>+E100/I100</f>
        <v>13170937500</v>
      </c>
      <c r="L100" s="168" t="s">
        <v>342</v>
      </c>
      <c r="M100" s="54" t="s">
        <v>1032</v>
      </c>
    </row>
    <row r="101" spans="1:14" ht="14.25" x14ac:dyDescent="0.2">
      <c r="A101" s="178" t="s">
        <v>534</v>
      </c>
      <c r="B101" s="355" t="s">
        <v>1372</v>
      </c>
      <c r="C101" s="55" t="s">
        <v>142</v>
      </c>
      <c r="D101" s="55" t="s">
        <v>143</v>
      </c>
      <c r="E101" s="50">
        <v>9562500000</v>
      </c>
      <c r="F101" s="154"/>
      <c r="G101" s="176">
        <v>43504</v>
      </c>
      <c r="H101" s="145"/>
      <c r="I101" s="74">
        <f>100.6/78.05</f>
        <v>1.2889173606662396</v>
      </c>
      <c r="J101" s="32" t="s">
        <v>338</v>
      </c>
      <c r="K101" s="50">
        <f>+E101/I101</f>
        <v>7419017147.1172962</v>
      </c>
      <c r="L101" s="168" t="s">
        <v>342</v>
      </c>
      <c r="M101" s="54" t="s">
        <v>1031</v>
      </c>
    </row>
    <row r="102" spans="1:14" ht="14.25" x14ac:dyDescent="0.2">
      <c r="A102" s="178" t="s">
        <v>534</v>
      </c>
      <c r="B102" s="355" t="s">
        <v>1372</v>
      </c>
      <c r="C102" s="55" t="s">
        <v>142</v>
      </c>
      <c r="D102" s="55" t="s">
        <v>143</v>
      </c>
      <c r="E102" s="50">
        <v>9562500000</v>
      </c>
      <c r="F102" s="154"/>
      <c r="G102" s="176">
        <v>43504</v>
      </c>
      <c r="H102" s="145"/>
      <c r="I102" s="74">
        <f>100.6/78.05</f>
        <v>1.2889173606662396</v>
      </c>
      <c r="J102" s="32" t="s">
        <v>338</v>
      </c>
      <c r="K102" s="50">
        <f>+E102/I102</f>
        <v>7419017147.1172962</v>
      </c>
      <c r="L102" s="168" t="s">
        <v>342</v>
      </c>
      <c r="M102" s="54" t="s">
        <v>1031</v>
      </c>
    </row>
    <row r="103" spans="1:14" ht="14.25" x14ac:dyDescent="0.2">
      <c r="A103" s="178" t="s">
        <v>534</v>
      </c>
      <c r="B103" s="355" t="s">
        <v>1372</v>
      </c>
      <c r="C103" s="55" t="s">
        <v>142</v>
      </c>
      <c r="D103" s="55" t="s">
        <v>143</v>
      </c>
      <c r="E103" s="50">
        <v>1600000000</v>
      </c>
      <c r="F103" s="154"/>
      <c r="G103" s="176">
        <v>43518</v>
      </c>
      <c r="H103" s="145"/>
      <c r="I103" s="74">
        <f>100.6/78.05</f>
        <v>1.2889173606662396</v>
      </c>
      <c r="J103" s="32" t="s">
        <v>338</v>
      </c>
      <c r="K103" s="50">
        <f>+E103/I103</f>
        <v>1241351888.6679921</v>
      </c>
      <c r="L103" s="168" t="s">
        <v>342</v>
      </c>
      <c r="M103" s="54" t="s">
        <v>1030</v>
      </c>
    </row>
    <row r="104" spans="1:14" ht="14.25" x14ac:dyDescent="0.2">
      <c r="A104" s="178"/>
      <c r="B104" s="355" t="s">
        <v>1372</v>
      </c>
      <c r="C104" s="55" t="s">
        <v>142</v>
      </c>
      <c r="D104" s="55" t="s">
        <v>143</v>
      </c>
      <c r="E104" s="50">
        <v>1500000000</v>
      </c>
      <c r="F104" s="154"/>
      <c r="G104" s="176">
        <v>43521</v>
      </c>
      <c r="H104" s="145"/>
      <c r="I104" s="74">
        <f>100.6/78.05</f>
        <v>1.2889173606662396</v>
      </c>
      <c r="J104" s="32" t="s">
        <v>338</v>
      </c>
      <c r="K104" s="50">
        <f>+E104/I104</f>
        <v>1163767395.6262424</v>
      </c>
      <c r="L104" s="168" t="s">
        <v>342</v>
      </c>
      <c r="M104" s="54" t="s">
        <v>1030</v>
      </c>
    </row>
    <row r="105" spans="1:14" ht="14.25" x14ac:dyDescent="0.2">
      <c r="A105" s="178"/>
      <c r="B105" s="355" t="s">
        <v>1372</v>
      </c>
      <c r="C105" s="55" t="s">
        <v>142</v>
      </c>
      <c r="D105" s="55" t="s">
        <v>143</v>
      </c>
      <c r="E105" s="50">
        <v>3275000004.98</v>
      </c>
      <c r="F105" s="154"/>
      <c r="G105" s="176">
        <v>43522</v>
      </c>
      <c r="H105" s="145"/>
      <c r="I105" s="74">
        <f>100.6/78.05</f>
        <v>1.2889173606662396</v>
      </c>
      <c r="J105" s="32" t="s">
        <v>338</v>
      </c>
      <c r="K105" s="50">
        <f>+E105/I105</f>
        <v>2540892150.9810038</v>
      </c>
      <c r="L105" s="168" t="s">
        <v>342</v>
      </c>
      <c r="M105" s="54" t="s">
        <v>1030</v>
      </c>
    </row>
    <row r="106" spans="1:14" ht="14.25" x14ac:dyDescent="0.2">
      <c r="A106" s="178" t="s">
        <v>534</v>
      </c>
      <c r="B106" s="355" t="s">
        <v>1372</v>
      </c>
      <c r="C106" s="55" t="s">
        <v>142</v>
      </c>
      <c r="D106" s="55" t="s">
        <v>143</v>
      </c>
      <c r="E106" s="50">
        <v>4500000000</v>
      </c>
      <c r="F106" s="154"/>
      <c r="G106" s="176">
        <v>43544</v>
      </c>
      <c r="H106" s="145"/>
      <c r="I106" s="74">
        <f>101.18/78.05</f>
        <v>1.2963484945547727</v>
      </c>
      <c r="J106" s="32" t="s">
        <v>343</v>
      </c>
      <c r="K106" s="50">
        <f>+E106/I106</f>
        <v>3471288792.2514324</v>
      </c>
      <c r="L106" s="168" t="s">
        <v>342</v>
      </c>
      <c r="M106" s="54" t="s">
        <v>1028</v>
      </c>
      <c r="N106" s="170" t="s">
        <v>1029</v>
      </c>
    </row>
    <row r="107" spans="1:14" ht="14.25" x14ac:dyDescent="0.2">
      <c r="A107" s="178"/>
      <c r="B107" s="355" t="s">
        <v>1372</v>
      </c>
      <c r="C107" s="55" t="s">
        <v>142</v>
      </c>
      <c r="D107" s="55" t="s">
        <v>143</v>
      </c>
      <c r="E107" s="50">
        <v>13500000000</v>
      </c>
      <c r="F107" s="154"/>
      <c r="G107" s="176">
        <v>43543</v>
      </c>
      <c r="H107" s="145"/>
      <c r="I107" s="74">
        <f>101.18/78.05</f>
        <v>1.2963484945547727</v>
      </c>
      <c r="J107" s="32" t="s">
        <v>343</v>
      </c>
      <c r="K107" s="50">
        <f>+E107/I107</f>
        <v>10413866376.754297</v>
      </c>
      <c r="L107" s="168" t="s">
        <v>342</v>
      </c>
      <c r="M107" s="54" t="s">
        <v>1028</v>
      </c>
    </row>
    <row r="108" spans="1:14" ht="14.25" x14ac:dyDescent="0.2">
      <c r="A108" s="178" t="s">
        <v>534</v>
      </c>
      <c r="B108" s="355" t="s">
        <v>1372</v>
      </c>
      <c r="C108" s="55" t="s">
        <v>142</v>
      </c>
      <c r="D108" s="55" t="s">
        <v>143</v>
      </c>
      <c r="E108" s="50">
        <v>13500000000</v>
      </c>
      <c r="F108" s="154"/>
      <c r="G108" s="176">
        <v>43546</v>
      </c>
      <c r="H108" s="145"/>
      <c r="I108" s="74">
        <f>101.18/78.05</f>
        <v>1.2963484945547727</v>
      </c>
      <c r="J108" s="32" t="s">
        <v>343</v>
      </c>
      <c r="K108" s="50">
        <f>+E108/I108</f>
        <v>10413866376.754297</v>
      </c>
      <c r="L108" s="168" t="s">
        <v>342</v>
      </c>
      <c r="M108" s="54" t="s">
        <v>1027</v>
      </c>
    </row>
    <row r="109" spans="1:14" ht="14.25" x14ac:dyDescent="0.2">
      <c r="A109" s="178" t="s">
        <v>534</v>
      </c>
      <c r="B109" s="355" t="s">
        <v>1372</v>
      </c>
      <c r="C109" s="55" t="s">
        <v>142</v>
      </c>
      <c r="D109" s="55" t="s">
        <v>143</v>
      </c>
      <c r="E109" s="50">
        <v>8000000000</v>
      </c>
      <c r="F109" s="154"/>
      <c r="G109" s="176">
        <v>43551</v>
      </c>
      <c r="H109" s="145"/>
      <c r="I109" s="74">
        <f>101.18/78.05</f>
        <v>1.2963484945547727</v>
      </c>
      <c r="J109" s="32" t="s">
        <v>343</v>
      </c>
      <c r="K109" s="50">
        <f>+E109/I109</f>
        <v>6171180075.113658</v>
      </c>
      <c r="L109" s="168" t="s">
        <v>342</v>
      </c>
      <c r="M109" s="54"/>
    </row>
    <row r="110" spans="1:14" ht="14.25" x14ac:dyDescent="0.2">
      <c r="A110" s="178" t="s">
        <v>534</v>
      </c>
      <c r="B110" s="355" t="s">
        <v>1372</v>
      </c>
      <c r="C110" s="55" t="s">
        <v>142</v>
      </c>
      <c r="D110" s="55" t="s">
        <v>143</v>
      </c>
      <c r="E110" s="50">
        <v>1245000000</v>
      </c>
      <c r="F110" s="154"/>
      <c r="G110" s="176">
        <v>43558</v>
      </c>
      <c r="H110" s="145"/>
      <c r="I110" s="74">
        <f>101.62/78.05</f>
        <v>1.3019859064702115</v>
      </c>
      <c r="J110" s="32" t="s">
        <v>347</v>
      </c>
      <c r="K110" s="50">
        <f>+E110/I110</f>
        <v>956231548.90769529</v>
      </c>
      <c r="L110" s="168" t="s">
        <v>342</v>
      </c>
      <c r="M110" s="54" t="s">
        <v>1026</v>
      </c>
    </row>
    <row r="111" spans="1:14" ht="14.25" x14ac:dyDescent="0.2">
      <c r="A111" s="178"/>
      <c r="B111" s="355" t="s">
        <v>1372</v>
      </c>
      <c r="C111" s="55" t="s">
        <v>142</v>
      </c>
      <c r="D111" s="55" t="s">
        <v>143</v>
      </c>
      <c r="E111" s="50">
        <v>1494000000</v>
      </c>
      <c r="F111" s="154"/>
      <c r="G111" s="176">
        <v>43559</v>
      </c>
      <c r="H111" s="145"/>
      <c r="I111" s="74">
        <f>101.62/78.05</f>
        <v>1.3019859064702115</v>
      </c>
      <c r="J111" s="32" t="s">
        <v>347</v>
      </c>
      <c r="K111" s="50">
        <f>+E111/I111</f>
        <v>1147477858.6892343</v>
      </c>
      <c r="L111" s="168" t="s">
        <v>342</v>
      </c>
      <c r="M111" s="54" t="s">
        <v>1026</v>
      </c>
    </row>
    <row r="112" spans="1:14" ht="14.25" x14ac:dyDescent="0.2">
      <c r="A112" s="178"/>
      <c r="B112" s="355" t="s">
        <v>1372</v>
      </c>
      <c r="C112" s="55" t="s">
        <v>142</v>
      </c>
      <c r="D112" s="55" t="s">
        <v>143</v>
      </c>
      <c r="E112" s="50">
        <v>10261000000</v>
      </c>
      <c r="F112" s="154"/>
      <c r="G112" s="176">
        <v>43560</v>
      </c>
      <c r="H112" s="145"/>
      <c r="I112" s="74">
        <f>101.62/78.05</f>
        <v>1.3019859064702115</v>
      </c>
      <c r="J112" s="32" t="s">
        <v>347</v>
      </c>
      <c r="K112" s="50">
        <f>+E112/I112</f>
        <v>7881037689.4312134</v>
      </c>
      <c r="L112" s="168" t="s">
        <v>342</v>
      </c>
      <c r="M112" s="54" t="s">
        <v>1026</v>
      </c>
    </row>
    <row r="113" spans="1:14" ht="14.25" x14ac:dyDescent="0.2">
      <c r="A113" s="178"/>
      <c r="B113" s="355" t="s">
        <v>1372</v>
      </c>
      <c r="C113" s="55" t="s">
        <v>142</v>
      </c>
      <c r="D113" s="55" t="s">
        <v>143</v>
      </c>
      <c r="E113" s="50">
        <v>8527000000</v>
      </c>
      <c r="F113" s="154"/>
      <c r="G113" s="176">
        <v>43567</v>
      </c>
      <c r="H113" s="145"/>
      <c r="I113" s="74">
        <f>101.62/78.05</f>
        <v>1.3019859064702115</v>
      </c>
      <c r="J113" s="32" t="s">
        <v>347</v>
      </c>
      <c r="K113" s="50">
        <f>+E113/I113</f>
        <v>6549226038.1814594</v>
      </c>
      <c r="L113" s="168" t="s">
        <v>342</v>
      </c>
      <c r="M113" s="54" t="s">
        <v>1025</v>
      </c>
    </row>
    <row r="114" spans="1:14" ht="14.25" x14ac:dyDescent="0.2">
      <c r="A114" s="178" t="s">
        <v>534</v>
      </c>
      <c r="B114" s="355" t="s">
        <v>1372</v>
      </c>
      <c r="C114" s="55" t="s">
        <v>142</v>
      </c>
      <c r="D114" s="55" t="s">
        <v>143</v>
      </c>
      <c r="E114" s="50">
        <v>1494000000</v>
      </c>
      <c r="F114" s="154"/>
      <c r="G114" s="176">
        <v>43570</v>
      </c>
      <c r="H114" s="145"/>
      <c r="I114" s="74">
        <f>101.62/78.05</f>
        <v>1.3019859064702115</v>
      </c>
      <c r="J114" s="32" t="s">
        <v>347</v>
      </c>
      <c r="K114" s="50">
        <f>+E114/I114</f>
        <v>1147477858.6892343</v>
      </c>
      <c r="L114" s="168" t="s">
        <v>342</v>
      </c>
      <c r="M114" s="54" t="s">
        <v>1024</v>
      </c>
    </row>
    <row r="115" spans="1:14" ht="14.25" x14ac:dyDescent="0.2">
      <c r="A115" s="178"/>
      <c r="B115" s="355" t="s">
        <v>1372</v>
      </c>
      <c r="C115" s="55" t="s">
        <v>142</v>
      </c>
      <c r="D115" s="55" t="s">
        <v>143</v>
      </c>
      <c r="E115" s="50">
        <v>4500000000</v>
      </c>
      <c r="F115" s="154"/>
      <c r="G115" s="176">
        <v>43579</v>
      </c>
      <c r="H115" s="145"/>
      <c r="I115" s="74">
        <f>101.62/78.05</f>
        <v>1.3019859064702115</v>
      </c>
      <c r="J115" s="32" t="s">
        <v>347</v>
      </c>
      <c r="K115" s="50">
        <f>+E115/I115</f>
        <v>3456258610.5097418</v>
      </c>
      <c r="L115" s="168" t="s">
        <v>342</v>
      </c>
      <c r="M115" s="54" t="s">
        <v>1024</v>
      </c>
      <c r="N115" s="238"/>
    </row>
    <row r="116" spans="1:14" ht="14.25" x14ac:dyDescent="0.2">
      <c r="A116" s="178"/>
      <c r="B116" s="355" t="s">
        <v>1372</v>
      </c>
      <c r="C116" s="55" t="s">
        <v>142</v>
      </c>
      <c r="D116" s="55" t="s">
        <v>143</v>
      </c>
      <c r="E116" s="50">
        <v>4500000000</v>
      </c>
      <c r="F116" s="154"/>
      <c r="G116" s="176">
        <v>43579</v>
      </c>
      <c r="H116" s="145"/>
      <c r="I116" s="74">
        <f>101.62/78.05</f>
        <v>1.3019859064702115</v>
      </c>
      <c r="J116" s="32" t="s">
        <v>347</v>
      </c>
      <c r="K116" s="50">
        <f>+E116/I116</f>
        <v>3456258610.5097418</v>
      </c>
      <c r="L116" s="168" t="s">
        <v>342</v>
      </c>
      <c r="M116" s="54" t="s">
        <v>1024</v>
      </c>
      <c r="N116" s="238"/>
    </row>
    <row r="117" spans="1:14" ht="14.25" x14ac:dyDescent="0.2">
      <c r="A117" s="178"/>
      <c r="B117" s="355" t="s">
        <v>1372</v>
      </c>
      <c r="C117" s="55" t="s">
        <v>142</v>
      </c>
      <c r="D117" s="55" t="s">
        <v>143</v>
      </c>
      <c r="E117" s="50">
        <v>498000000</v>
      </c>
      <c r="F117" s="154"/>
      <c r="G117" s="176">
        <v>43578</v>
      </c>
      <c r="H117" s="145"/>
      <c r="I117" s="74">
        <f>101.62/78.05</f>
        <v>1.3019859064702115</v>
      </c>
      <c r="J117" s="32" t="s">
        <v>347</v>
      </c>
      <c r="K117" s="50">
        <f>+E117/I117</f>
        <v>382492619.56307811</v>
      </c>
      <c r="L117" s="168" t="s">
        <v>342</v>
      </c>
      <c r="M117" s="54" t="s">
        <v>1024</v>
      </c>
    </row>
    <row r="118" spans="1:14" ht="14.25" x14ac:dyDescent="0.2">
      <c r="A118" s="178"/>
      <c r="B118" s="355" t="s">
        <v>1372</v>
      </c>
      <c r="C118" s="55" t="s">
        <v>142</v>
      </c>
      <c r="D118" s="55" t="s">
        <v>143</v>
      </c>
      <c r="E118" s="50">
        <v>740000000</v>
      </c>
      <c r="F118" s="154"/>
      <c r="G118" s="176">
        <v>43579</v>
      </c>
      <c r="H118" s="145"/>
      <c r="I118" s="74">
        <f>101.62/78.05</f>
        <v>1.3019859064702115</v>
      </c>
      <c r="J118" s="32" t="s">
        <v>347</v>
      </c>
      <c r="K118" s="50">
        <f>+E118/I118</f>
        <v>568362527.061602</v>
      </c>
      <c r="L118" s="168" t="s">
        <v>342</v>
      </c>
      <c r="M118" s="54" t="s">
        <v>1024</v>
      </c>
    </row>
    <row r="119" spans="1:14" ht="14.25" x14ac:dyDescent="0.2">
      <c r="A119" s="178" t="s">
        <v>534</v>
      </c>
      <c r="B119" s="355" t="s">
        <v>1372</v>
      </c>
      <c r="C119" s="55" t="s">
        <v>142</v>
      </c>
      <c r="D119" s="55" t="s">
        <v>143</v>
      </c>
      <c r="E119" s="50">
        <v>4875000000</v>
      </c>
      <c r="F119" s="154"/>
      <c r="G119" s="176">
        <v>43581</v>
      </c>
      <c r="H119" s="145"/>
      <c r="I119" s="74">
        <f>101.62/78.05</f>
        <v>1.3019859064702115</v>
      </c>
      <c r="J119" s="32" t="s">
        <v>347</v>
      </c>
      <c r="K119" s="50">
        <f>+E119/I119</f>
        <v>3744280161.3855538</v>
      </c>
      <c r="L119" s="168" t="s">
        <v>399</v>
      </c>
      <c r="M119" s="54" t="s">
        <v>1023</v>
      </c>
    </row>
    <row r="120" spans="1:14" ht="14.25" x14ac:dyDescent="0.2">
      <c r="A120" s="178" t="s">
        <v>534</v>
      </c>
      <c r="B120" s="355" t="s">
        <v>1372</v>
      </c>
      <c r="C120" s="55" t="s">
        <v>142</v>
      </c>
      <c r="D120" s="55" t="s">
        <v>143</v>
      </c>
      <c r="E120" s="50">
        <v>3366000000</v>
      </c>
      <c r="F120" s="154"/>
      <c r="G120" s="176">
        <v>43591</v>
      </c>
      <c r="H120" s="145"/>
      <c r="I120" s="74">
        <f>102.12/78.05</f>
        <v>1.3083920563741192</v>
      </c>
      <c r="J120" s="32" t="s">
        <v>401</v>
      </c>
      <c r="K120" s="50">
        <f>+E120/I120</f>
        <v>2572623384.253819</v>
      </c>
      <c r="L120" s="168" t="s">
        <v>399</v>
      </c>
      <c r="M120" s="54" t="s">
        <v>1022</v>
      </c>
    </row>
    <row r="121" spans="1:14" ht="14.25" x14ac:dyDescent="0.2">
      <c r="A121" s="178"/>
      <c r="B121" s="355" t="s">
        <v>1372</v>
      </c>
      <c r="C121" s="55" t="s">
        <v>142</v>
      </c>
      <c r="D121" s="55" t="s">
        <v>143</v>
      </c>
      <c r="E121" s="50">
        <v>4625000000</v>
      </c>
      <c r="F121" s="154"/>
      <c r="G121" s="176">
        <v>44120</v>
      </c>
      <c r="H121" s="145"/>
      <c r="I121" s="74">
        <f>[26]IPC!$S$18/78.05</f>
        <v>1.3490070467648945</v>
      </c>
      <c r="J121" s="32" t="s">
        <v>883</v>
      </c>
      <c r="K121" s="50">
        <f>+E121/I121</f>
        <v>3428447620.8566813</v>
      </c>
      <c r="L121" s="168" t="s">
        <v>342</v>
      </c>
      <c r="M121" s="54" t="s">
        <v>1113</v>
      </c>
    </row>
    <row r="122" spans="1:14" ht="14.25" x14ac:dyDescent="0.2">
      <c r="A122" s="178"/>
      <c r="B122" s="355" t="s">
        <v>1372</v>
      </c>
      <c r="C122" s="55" t="s">
        <v>142</v>
      </c>
      <c r="D122" s="55" t="s">
        <v>143</v>
      </c>
      <c r="E122" s="50">
        <v>6937500000</v>
      </c>
      <c r="F122" s="154"/>
      <c r="G122" s="176">
        <v>44124</v>
      </c>
      <c r="H122" s="145"/>
      <c r="I122" s="74">
        <f>[26]IPC!$S$18/78.05</f>
        <v>1.3490070467648945</v>
      </c>
      <c r="J122" s="32" t="s">
        <v>883</v>
      </c>
      <c r="K122" s="50">
        <f>+E122/I122</f>
        <v>5142671431.2850218</v>
      </c>
      <c r="L122" s="168" t="s">
        <v>342</v>
      </c>
      <c r="M122" s="54" t="s">
        <v>1113</v>
      </c>
    </row>
    <row r="123" spans="1:14" ht="14.25" x14ac:dyDescent="0.2">
      <c r="A123" s="178"/>
      <c r="B123" s="355" t="s">
        <v>1372</v>
      </c>
      <c r="C123" s="55" t="s">
        <v>142</v>
      </c>
      <c r="D123" s="55"/>
      <c r="E123" s="50">
        <v>6937500000</v>
      </c>
      <c r="F123" s="154"/>
      <c r="G123" s="176">
        <v>44124</v>
      </c>
      <c r="H123" s="145"/>
      <c r="I123" s="74">
        <f>[26]IPC!$S$18/78.05</f>
        <v>1.3490070467648945</v>
      </c>
      <c r="J123" s="32" t="s">
        <v>883</v>
      </c>
      <c r="K123" s="50">
        <f>+E123/I123</f>
        <v>5142671431.2850218</v>
      </c>
      <c r="L123" s="168" t="s">
        <v>342</v>
      </c>
      <c r="M123" s="54" t="s">
        <v>1113</v>
      </c>
    </row>
    <row r="124" spans="1:14" ht="15" x14ac:dyDescent="0.2">
      <c r="A124" s="178" t="s">
        <v>534</v>
      </c>
      <c r="B124" s="355"/>
      <c r="C124" s="55"/>
      <c r="D124" s="116" t="s">
        <v>173</v>
      </c>
      <c r="E124" s="250">
        <f>SUM(E15:E123)</f>
        <v>402847324524.47998</v>
      </c>
      <c r="F124" s="154"/>
      <c r="G124" s="176"/>
      <c r="H124" s="145"/>
      <c r="I124" s="50"/>
      <c r="J124" s="50"/>
      <c r="K124" s="250">
        <f>SUM(K15:K123)</f>
        <v>322731687608.57544</v>
      </c>
      <c r="L124" s="168"/>
      <c r="M124" s="54"/>
    </row>
    <row r="125" spans="1:14" ht="14.25" x14ac:dyDescent="0.2">
      <c r="A125" s="178" t="s">
        <v>534</v>
      </c>
      <c r="B125" s="355" t="s">
        <v>1370</v>
      </c>
      <c r="C125" s="55" t="s">
        <v>142</v>
      </c>
      <c r="D125" s="55" t="s">
        <v>174</v>
      </c>
      <c r="E125" s="50">
        <v>578332629.87</v>
      </c>
      <c r="F125" s="154"/>
      <c r="G125" s="176">
        <v>42278</v>
      </c>
      <c r="H125" s="145"/>
      <c r="I125" s="39">
        <f>123.78/111.82</f>
        <v>1.1069576104453587</v>
      </c>
      <c r="J125" s="32" t="s">
        <v>175</v>
      </c>
      <c r="K125" s="50">
        <f>+E125/I125</f>
        <v>522452372.53242362</v>
      </c>
      <c r="L125" s="168" t="s">
        <v>1371</v>
      </c>
      <c r="M125" s="54"/>
    </row>
    <row r="126" spans="1:14" ht="14.25" x14ac:dyDescent="0.2">
      <c r="A126" s="178" t="s">
        <v>534</v>
      </c>
      <c r="B126" s="355" t="s">
        <v>1370</v>
      </c>
      <c r="C126" s="55" t="s">
        <v>142</v>
      </c>
      <c r="D126" s="55" t="s">
        <v>174</v>
      </c>
      <c r="E126" s="50">
        <v>985800898.62</v>
      </c>
      <c r="F126" s="154"/>
      <c r="G126" s="176">
        <v>42369</v>
      </c>
      <c r="H126" s="145"/>
      <c r="I126" s="74">
        <f>125.37/111.82</f>
        <v>1.1211768914326596</v>
      </c>
      <c r="J126" s="32" t="s">
        <v>167</v>
      </c>
      <c r="K126" s="50">
        <v>808679767</v>
      </c>
      <c r="L126" s="168" t="s">
        <v>1371</v>
      </c>
      <c r="M126" s="54"/>
    </row>
    <row r="127" spans="1:14" ht="14.25" x14ac:dyDescent="0.2">
      <c r="A127" s="178"/>
      <c r="B127" s="355" t="s">
        <v>1370</v>
      </c>
      <c r="C127" s="55" t="s">
        <v>142</v>
      </c>
      <c r="D127" s="55" t="s">
        <v>174</v>
      </c>
      <c r="E127" s="50">
        <v>-79127831.329999998</v>
      </c>
      <c r="F127" s="154"/>
      <c r="G127" s="176">
        <v>42614</v>
      </c>
      <c r="H127" s="145"/>
      <c r="I127" s="74"/>
      <c r="J127" s="32"/>
      <c r="K127" s="50">
        <v>-66637100</v>
      </c>
      <c r="L127" s="168" t="s">
        <v>1369</v>
      </c>
      <c r="M127" s="54"/>
    </row>
    <row r="128" spans="1:14" ht="15" x14ac:dyDescent="0.2">
      <c r="A128" s="178" t="s">
        <v>534</v>
      </c>
      <c r="B128" s="352" t="s">
        <v>891</v>
      </c>
      <c r="C128" s="56"/>
      <c r="D128" s="56"/>
      <c r="E128" s="249">
        <f>+E124+E125+E126+E127</f>
        <v>404332330221.63995</v>
      </c>
      <c r="F128" s="154"/>
      <c r="G128" s="176"/>
      <c r="H128" s="145"/>
      <c r="I128" s="50"/>
      <c r="J128" s="50"/>
      <c r="K128" s="248">
        <f>+K124+K125+K126+K127</f>
        <v>323996182648.10785</v>
      </c>
      <c r="L128" s="173"/>
      <c r="M128" s="54"/>
    </row>
    <row r="129" spans="1:18" ht="14.25" x14ac:dyDescent="0.2">
      <c r="A129" s="178" t="s">
        <v>534</v>
      </c>
      <c r="B129" s="355"/>
      <c r="C129" s="55"/>
      <c r="D129" s="55"/>
      <c r="E129" s="160"/>
      <c r="F129" s="165"/>
      <c r="G129" s="176"/>
      <c r="H129" s="145"/>
      <c r="I129" s="50"/>
      <c r="J129" s="50"/>
      <c r="K129" s="160"/>
      <c r="L129" s="173"/>
      <c r="M129" s="54"/>
    </row>
    <row r="130" spans="1:18" s="180" customFormat="1" ht="15" x14ac:dyDescent="0.25">
      <c r="A130" s="180" t="s">
        <v>474</v>
      </c>
      <c r="B130" s="356" t="s">
        <v>176</v>
      </c>
      <c r="C130" s="356"/>
      <c r="D130" s="356"/>
      <c r="E130" s="356"/>
      <c r="F130" s="356"/>
      <c r="G130" s="185"/>
      <c r="H130" s="356"/>
      <c r="I130" s="356"/>
      <c r="J130" s="356"/>
      <c r="K130" s="356"/>
      <c r="L130" s="356"/>
      <c r="M130" s="182"/>
      <c r="O130" s="181"/>
      <c r="P130" s="181"/>
      <c r="Q130" s="181"/>
      <c r="R130" s="181"/>
    </row>
    <row r="131" spans="1:18" s="180" customFormat="1" ht="15" x14ac:dyDescent="0.25">
      <c r="A131" s="184" t="s">
        <v>534</v>
      </c>
      <c r="B131" s="141" t="s">
        <v>130</v>
      </c>
      <c r="C131" s="142" t="s">
        <v>131</v>
      </c>
      <c r="D131" s="142" t="s">
        <v>132</v>
      </c>
      <c r="E131" s="143" t="s">
        <v>133</v>
      </c>
      <c r="F131" s="143"/>
      <c r="G131" s="247"/>
      <c r="H131" s="143" t="s">
        <v>134</v>
      </c>
      <c r="I131" s="143"/>
      <c r="J131" s="143"/>
      <c r="K131" s="143"/>
      <c r="L131" s="143" t="s">
        <v>97</v>
      </c>
      <c r="M131" s="182"/>
      <c r="O131" s="181"/>
      <c r="P131" s="181"/>
      <c r="Q131" s="181"/>
      <c r="R131" s="181"/>
    </row>
    <row r="132" spans="1:18" s="180" customFormat="1" ht="45" x14ac:dyDescent="0.25">
      <c r="A132" s="184" t="s">
        <v>534</v>
      </c>
      <c r="B132" s="141"/>
      <c r="C132" s="142"/>
      <c r="D132" s="142"/>
      <c r="E132" s="144" t="s">
        <v>135</v>
      </c>
      <c r="F132" s="144" t="s">
        <v>136</v>
      </c>
      <c r="G132" s="183" t="s">
        <v>619</v>
      </c>
      <c r="H132" s="144" t="s">
        <v>137</v>
      </c>
      <c r="I132" s="144" t="s">
        <v>138</v>
      </c>
      <c r="J132" s="144" t="s">
        <v>139</v>
      </c>
      <c r="K132" s="144" t="s">
        <v>140</v>
      </c>
      <c r="L132" s="143"/>
      <c r="M132" s="182"/>
      <c r="O132" s="181"/>
      <c r="P132" s="181"/>
      <c r="Q132" s="181"/>
      <c r="R132" s="181"/>
    </row>
    <row r="133" spans="1:18" ht="14.25" x14ac:dyDescent="0.2">
      <c r="A133" s="178" t="s">
        <v>534</v>
      </c>
      <c r="B133" s="355" t="s">
        <v>141</v>
      </c>
      <c r="C133" s="348" t="s">
        <v>176</v>
      </c>
      <c r="D133" s="55" t="s">
        <v>143</v>
      </c>
      <c r="E133" s="212">
        <v>1792505269</v>
      </c>
      <c r="F133" s="149" t="s">
        <v>144</v>
      </c>
      <c r="G133" s="196">
        <v>42278</v>
      </c>
      <c r="H133" s="163">
        <v>1630902678</v>
      </c>
      <c r="I133" s="39">
        <f>123.78/111.82</f>
        <v>1.1069576104453587</v>
      </c>
      <c r="J133" s="75" t="s">
        <v>152</v>
      </c>
      <c r="K133" s="246">
        <f>+E133/I133</f>
        <v>1619307959.1176279</v>
      </c>
      <c r="L133" s="173" t="s">
        <v>177</v>
      </c>
      <c r="M133" s="54"/>
      <c r="N133" s="1" t="s">
        <v>1010</v>
      </c>
    </row>
    <row r="134" spans="1:18" ht="14.25" x14ac:dyDescent="0.2">
      <c r="A134" s="178" t="s">
        <v>534</v>
      </c>
      <c r="B134" s="355" t="s">
        <v>145</v>
      </c>
      <c r="C134" s="348" t="s">
        <v>176</v>
      </c>
      <c r="D134" s="55" t="s">
        <v>143</v>
      </c>
      <c r="E134" s="212">
        <v>1805267351.8</v>
      </c>
      <c r="F134" s="149" t="s">
        <v>144</v>
      </c>
      <c r="G134" s="196">
        <v>42311</v>
      </c>
      <c r="H134" s="163">
        <v>1630902678</v>
      </c>
      <c r="I134" s="74">
        <f>124.62/111.82</f>
        <v>1.1144696834197818</v>
      </c>
      <c r="J134" s="76" t="s">
        <v>153</v>
      </c>
      <c r="K134" s="212">
        <f>+E134/I134</f>
        <v>1619844288.8643556</v>
      </c>
      <c r="L134" s="173" t="s">
        <v>177</v>
      </c>
      <c r="M134" s="54"/>
      <c r="N134" s="1" t="s">
        <v>1010</v>
      </c>
    </row>
    <row r="135" spans="1:18" ht="14.25" x14ac:dyDescent="0.2">
      <c r="A135" s="178" t="s">
        <v>534</v>
      </c>
      <c r="B135" s="355" t="s">
        <v>145</v>
      </c>
      <c r="C135" s="348" t="s">
        <v>176</v>
      </c>
      <c r="D135" s="55" t="s">
        <v>143</v>
      </c>
      <c r="E135" s="212">
        <v>12313884</v>
      </c>
      <c r="F135" s="149" t="s">
        <v>144</v>
      </c>
      <c r="G135" s="196">
        <v>42367</v>
      </c>
      <c r="H135" s="163">
        <v>1630902678</v>
      </c>
      <c r="I135" s="74">
        <f>125.37/111.82</f>
        <v>1.1211768914326596</v>
      </c>
      <c r="J135" s="76" t="s">
        <v>154</v>
      </c>
      <c r="K135" s="212">
        <f>+E135/I135</f>
        <v>10982998.395788467</v>
      </c>
      <c r="L135" s="173" t="s">
        <v>177</v>
      </c>
      <c r="M135" s="54"/>
      <c r="N135" s="1" t="s">
        <v>1010</v>
      </c>
    </row>
    <row r="136" spans="1:18" ht="14.25" x14ac:dyDescent="0.2">
      <c r="A136" s="178" t="s">
        <v>534</v>
      </c>
      <c r="B136" s="355" t="s">
        <v>146</v>
      </c>
      <c r="C136" s="348" t="s">
        <v>176</v>
      </c>
      <c r="D136" s="55" t="s">
        <v>143</v>
      </c>
      <c r="E136" s="212">
        <v>1828541334</v>
      </c>
      <c r="F136" s="245" t="s">
        <v>627</v>
      </c>
      <c r="G136" s="196">
        <v>42367</v>
      </c>
      <c r="H136" s="163">
        <v>1630902678</v>
      </c>
      <c r="I136" s="74">
        <f>125.37/111.82</f>
        <v>1.1211768914326596</v>
      </c>
      <c r="J136" s="76" t="s">
        <v>154</v>
      </c>
      <c r="K136" s="212">
        <f>+E136/I136</f>
        <v>1630912434.9356306</v>
      </c>
      <c r="L136" s="173" t="s">
        <v>177</v>
      </c>
      <c r="M136" s="54"/>
      <c r="N136" s="1" t="s">
        <v>1010</v>
      </c>
    </row>
    <row r="137" spans="1:18" ht="14.25" x14ac:dyDescent="0.2">
      <c r="A137" s="178" t="s">
        <v>534</v>
      </c>
      <c r="B137" s="355" t="s">
        <v>147</v>
      </c>
      <c r="C137" s="348" t="s">
        <v>176</v>
      </c>
      <c r="D137" s="55" t="s">
        <v>143</v>
      </c>
      <c r="E137" s="212">
        <v>1839906750</v>
      </c>
      <c r="F137" s="245" t="s">
        <v>628</v>
      </c>
      <c r="G137" s="196">
        <v>42387</v>
      </c>
      <c r="H137" s="163">
        <v>1630902678</v>
      </c>
      <c r="I137" s="74">
        <f>126.15/111.82</f>
        <v>1.1281523877660526</v>
      </c>
      <c r="J137" s="76" t="s">
        <v>155</v>
      </c>
      <c r="K137" s="212">
        <f>+E137/I137</f>
        <v>1630902677.6456599</v>
      </c>
      <c r="L137" s="173" t="s">
        <v>177</v>
      </c>
      <c r="M137" s="54"/>
      <c r="N137" s="1" t="s">
        <v>1010</v>
      </c>
    </row>
    <row r="138" spans="1:18" ht="14.25" x14ac:dyDescent="0.2">
      <c r="A138" s="178" t="s">
        <v>534</v>
      </c>
      <c r="B138" s="355" t="s">
        <v>147</v>
      </c>
      <c r="C138" s="348" t="s">
        <v>176</v>
      </c>
      <c r="D138" s="55" t="s">
        <v>143</v>
      </c>
      <c r="E138" s="212">
        <v>13080610</v>
      </c>
      <c r="F138" s="245" t="s">
        <v>628</v>
      </c>
      <c r="G138" s="196">
        <v>42395</v>
      </c>
      <c r="H138" s="163">
        <v>0</v>
      </c>
      <c r="I138" s="74">
        <f>126.15/111.82</f>
        <v>1.1281523877660526</v>
      </c>
      <c r="J138" s="76" t="s">
        <v>155</v>
      </c>
      <c r="K138" s="246">
        <f>+E138/I138</f>
        <v>11594719.066191042</v>
      </c>
      <c r="L138" s="173" t="s">
        <v>177</v>
      </c>
      <c r="M138" s="54"/>
      <c r="N138" s="1" t="s">
        <v>1010</v>
      </c>
    </row>
    <row r="139" spans="1:18" ht="14.25" x14ac:dyDescent="0.2">
      <c r="A139" s="178" t="s">
        <v>534</v>
      </c>
      <c r="B139" s="355" t="s">
        <v>148</v>
      </c>
      <c r="C139" s="348" t="s">
        <v>176</v>
      </c>
      <c r="D139" s="55" t="s">
        <v>143</v>
      </c>
      <c r="E139" s="212">
        <v>1863680417</v>
      </c>
      <c r="F139" s="245" t="s">
        <v>629</v>
      </c>
      <c r="G139" s="196">
        <v>42416</v>
      </c>
      <c r="H139" s="163">
        <v>1630902678</v>
      </c>
      <c r="I139" s="74">
        <f>127.78/111.82</f>
        <v>1.1427293865140404</v>
      </c>
      <c r="J139" s="76" t="s">
        <v>156</v>
      </c>
      <c r="K139" s="212">
        <f>+E139/I139</f>
        <v>1630902678.266865</v>
      </c>
      <c r="L139" s="173" t="s">
        <v>178</v>
      </c>
      <c r="M139" s="54"/>
      <c r="N139" s="1" t="s">
        <v>1010</v>
      </c>
    </row>
    <row r="140" spans="1:18" ht="14.25" x14ac:dyDescent="0.2">
      <c r="A140" s="178" t="s">
        <v>534</v>
      </c>
      <c r="B140" s="355" t="s">
        <v>149</v>
      </c>
      <c r="C140" s="348" t="s">
        <v>176</v>
      </c>
      <c r="D140" s="55" t="s">
        <v>143</v>
      </c>
      <c r="E140" s="212">
        <v>1887454082.99</v>
      </c>
      <c r="F140" s="245" t="s">
        <v>630</v>
      </c>
      <c r="G140" s="196">
        <v>42445</v>
      </c>
      <c r="H140" s="163">
        <v>1630902678</v>
      </c>
      <c r="I140" s="74">
        <f>129.41/111.82</f>
        <v>1.1573063852620282</v>
      </c>
      <c r="J140" s="76" t="s">
        <v>157</v>
      </c>
      <c r="K140" s="212">
        <f>+E140/I140</f>
        <v>1630902677.9997048</v>
      </c>
      <c r="L140" s="173" t="s">
        <v>177</v>
      </c>
      <c r="M140" s="54"/>
      <c r="N140" s="1" t="s">
        <v>1010</v>
      </c>
    </row>
    <row r="141" spans="1:18" ht="14.25" x14ac:dyDescent="0.2">
      <c r="A141" s="178" t="s">
        <v>534</v>
      </c>
      <c r="B141" s="355" t="s">
        <v>150</v>
      </c>
      <c r="C141" s="348" t="s">
        <v>176</v>
      </c>
      <c r="D141" s="55" t="s">
        <v>143</v>
      </c>
      <c r="E141" s="212">
        <v>1905247870</v>
      </c>
      <c r="F141" s="245" t="s">
        <v>631</v>
      </c>
      <c r="G141" s="196">
        <v>42474</v>
      </c>
      <c r="H141" s="163">
        <v>1630902678</v>
      </c>
      <c r="I141" s="74">
        <f>130.63/111.82</f>
        <v>1.1682167769629763</v>
      </c>
      <c r="J141" s="76" t="s">
        <v>158</v>
      </c>
      <c r="K141" s="212">
        <f>+E141/I141</f>
        <v>1630902677.9713693</v>
      </c>
      <c r="L141" s="173" t="s">
        <v>178</v>
      </c>
      <c r="M141" s="54"/>
      <c r="N141" s="1" t="s">
        <v>1010</v>
      </c>
    </row>
    <row r="142" spans="1:18" ht="14.25" x14ac:dyDescent="0.2">
      <c r="A142" s="178" t="s">
        <v>534</v>
      </c>
      <c r="B142" s="355" t="s">
        <v>151</v>
      </c>
      <c r="C142" s="348" t="s">
        <v>176</v>
      </c>
      <c r="D142" s="55" t="s">
        <v>143</v>
      </c>
      <c r="E142" s="212">
        <v>1914728166</v>
      </c>
      <c r="F142" s="245" t="s">
        <v>632</v>
      </c>
      <c r="G142" s="196">
        <v>42506</v>
      </c>
      <c r="H142" s="163">
        <v>1630902678</v>
      </c>
      <c r="I142" s="74">
        <f>131.28/111.82</f>
        <v>1.1740296905741372</v>
      </c>
      <c r="J142" s="76" t="s">
        <v>159</v>
      </c>
      <c r="K142" s="212">
        <f>+E142/I142</f>
        <v>1630902677.6517365</v>
      </c>
      <c r="L142" s="173" t="s">
        <v>178</v>
      </c>
      <c r="M142" s="54"/>
      <c r="N142" s="1" t="s">
        <v>1010</v>
      </c>
    </row>
    <row r="143" spans="1:18" ht="14.25" x14ac:dyDescent="0.2">
      <c r="A143" s="178" t="s">
        <v>534</v>
      </c>
      <c r="B143" s="355" t="s">
        <v>179</v>
      </c>
      <c r="C143" s="348" t="s">
        <v>176</v>
      </c>
      <c r="D143" s="55" t="s">
        <v>143</v>
      </c>
      <c r="E143" s="212">
        <v>1924500164</v>
      </c>
      <c r="F143" s="245" t="s">
        <v>633</v>
      </c>
      <c r="G143" s="196">
        <v>42535</v>
      </c>
      <c r="H143" s="163">
        <v>1630902678</v>
      </c>
      <c r="I143" s="74">
        <f>131.95/111.82</f>
        <v>1.1800214630656412</v>
      </c>
      <c r="J143" s="76" t="s">
        <v>160</v>
      </c>
      <c r="K143" s="212">
        <f>+E143/I143</f>
        <v>1630902677.8209929</v>
      </c>
      <c r="L143" s="173" t="s">
        <v>178</v>
      </c>
      <c r="M143" s="54"/>
      <c r="N143" s="1" t="s">
        <v>1010</v>
      </c>
    </row>
    <row r="144" spans="1:18" ht="14.25" x14ac:dyDescent="0.2">
      <c r="A144" s="178" t="s">
        <v>534</v>
      </c>
      <c r="B144" s="355" t="s">
        <v>180</v>
      </c>
      <c r="C144" s="348" t="s">
        <v>176</v>
      </c>
      <c r="D144" s="55" t="s">
        <v>143</v>
      </c>
      <c r="E144" s="212">
        <v>1933737765</v>
      </c>
      <c r="F144" s="245" t="s">
        <v>634</v>
      </c>
      <c r="G144" s="196">
        <v>42558</v>
      </c>
      <c r="H144" s="163">
        <v>1630902678</v>
      </c>
      <c r="I144" s="74">
        <f>132.58/111.82</f>
        <v>1.1856555177964587</v>
      </c>
      <c r="J144" s="76" t="s">
        <v>161</v>
      </c>
      <c r="K144" s="212">
        <f>+E144/I144</f>
        <v>1630944010.2753053</v>
      </c>
      <c r="L144" s="173" t="s">
        <v>178</v>
      </c>
      <c r="M144" s="54"/>
      <c r="N144" s="1" t="s">
        <v>1010</v>
      </c>
    </row>
    <row r="145" spans="1:18" ht="14.25" x14ac:dyDescent="0.2">
      <c r="A145" s="178" t="s">
        <v>534</v>
      </c>
      <c r="B145" s="355" t="s">
        <v>181</v>
      </c>
      <c r="C145" s="348" t="s">
        <v>176</v>
      </c>
      <c r="D145" s="55" t="s">
        <v>143</v>
      </c>
      <c r="E145" s="212">
        <v>1946104392</v>
      </c>
      <c r="F145" s="245" t="s">
        <v>635</v>
      </c>
      <c r="G145" s="196">
        <v>42593</v>
      </c>
      <c r="H145" s="163">
        <v>1630902678</v>
      </c>
      <c r="I145" s="74">
        <f>133.27/111.82</f>
        <v>1.1918261491683064</v>
      </c>
      <c r="J145" s="76" t="s">
        <v>162</v>
      </c>
      <c r="K145" s="212">
        <f>+E145/I145</f>
        <v>1632876064.4814284</v>
      </c>
      <c r="L145" s="173" t="s">
        <v>177</v>
      </c>
      <c r="M145" s="54"/>
      <c r="N145" s="1" t="s">
        <v>1010</v>
      </c>
    </row>
    <row r="146" spans="1:18" ht="14.25" x14ac:dyDescent="0.2">
      <c r="A146" s="178" t="s">
        <v>534</v>
      </c>
      <c r="B146" s="355" t="s">
        <v>182</v>
      </c>
      <c r="C146" s="348" t="s">
        <v>176</v>
      </c>
      <c r="D146" s="55" t="s">
        <v>143</v>
      </c>
      <c r="E146" s="212">
        <v>1937626728</v>
      </c>
      <c r="F146" s="245" t="s">
        <v>636</v>
      </c>
      <c r="G146" s="196">
        <v>42626</v>
      </c>
      <c r="H146" s="163">
        <v>1630902678</v>
      </c>
      <c r="I146" s="74">
        <f>132.85/111.82</f>
        <v>1.1880701126810946</v>
      </c>
      <c r="J146" s="76" t="s">
        <v>163</v>
      </c>
      <c r="K146" s="212">
        <f>+E146/I146</f>
        <v>1630902677.6436582</v>
      </c>
      <c r="L146" s="173" t="s">
        <v>178</v>
      </c>
      <c r="M146" s="54"/>
      <c r="N146" s="1" t="s">
        <v>1010</v>
      </c>
    </row>
    <row r="147" spans="1:18" ht="14.25" x14ac:dyDescent="0.2">
      <c r="A147" s="178" t="s">
        <v>534</v>
      </c>
      <c r="B147" s="355" t="s">
        <v>183</v>
      </c>
      <c r="C147" s="348" t="s">
        <v>176</v>
      </c>
      <c r="D147" s="55" t="s">
        <v>143</v>
      </c>
      <c r="E147" s="212">
        <v>1936605773</v>
      </c>
      <c r="F147" s="245" t="s">
        <v>637</v>
      </c>
      <c r="G147" s="196">
        <v>42650</v>
      </c>
      <c r="H147" s="163">
        <v>1630902678</v>
      </c>
      <c r="I147" s="74">
        <f>132.78/111.82</f>
        <v>1.1874441065998929</v>
      </c>
      <c r="J147" s="76" t="s">
        <v>164</v>
      </c>
      <c r="K147" s="212">
        <f>+E147/I147</f>
        <v>1630902677.6386502</v>
      </c>
      <c r="L147" s="173" t="s">
        <v>178</v>
      </c>
      <c r="M147" s="54"/>
      <c r="N147" s="1" t="s">
        <v>1010</v>
      </c>
    </row>
    <row r="148" spans="1:18" ht="15" x14ac:dyDescent="0.25">
      <c r="A148" s="178" t="s">
        <v>534</v>
      </c>
      <c r="B148" s="355" t="s">
        <v>184</v>
      </c>
      <c r="C148" s="348" t="s">
        <v>176</v>
      </c>
      <c r="D148" s="55" t="s">
        <v>143</v>
      </c>
      <c r="E148" s="118">
        <v>2008510175</v>
      </c>
      <c r="F148" s="245" t="s">
        <v>638</v>
      </c>
      <c r="G148" s="196">
        <v>42913</v>
      </c>
      <c r="H148" s="163">
        <v>1630902678</v>
      </c>
      <c r="I148" s="74">
        <f>137.71/111.82</f>
        <v>1.2315328206045431</v>
      </c>
      <c r="J148" s="76" t="s">
        <v>185</v>
      </c>
      <c r="K148" s="212">
        <f>+E148/I148</f>
        <v>1630902677.8629003</v>
      </c>
      <c r="L148" s="173" t="s">
        <v>178</v>
      </c>
      <c r="M148" s="54"/>
      <c r="N148" s="1" t="s">
        <v>1010</v>
      </c>
    </row>
    <row r="149" spans="1:18" ht="15" x14ac:dyDescent="0.25">
      <c r="A149" s="178" t="s">
        <v>534</v>
      </c>
      <c r="B149" s="355" t="s">
        <v>186</v>
      </c>
      <c r="C149" s="348" t="s">
        <v>176</v>
      </c>
      <c r="D149" s="55" t="s">
        <v>143</v>
      </c>
      <c r="E149" s="118">
        <v>2010843787</v>
      </c>
      <c r="F149" s="245" t="s">
        <v>639</v>
      </c>
      <c r="G149" s="196">
        <v>42942</v>
      </c>
      <c r="H149" s="163">
        <v>1630902678</v>
      </c>
      <c r="I149" s="74">
        <f>137.87/111.82</f>
        <v>1.2329636916472904</v>
      </c>
      <c r="J149" s="76" t="s">
        <v>187</v>
      </c>
      <c r="K149" s="212">
        <f>+E149/I149</f>
        <v>1630902678.3371291</v>
      </c>
      <c r="L149" s="173" t="s">
        <v>178</v>
      </c>
      <c r="M149" s="54"/>
      <c r="N149" s="1" t="s">
        <v>1010</v>
      </c>
    </row>
    <row r="150" spans="1:18" ht="15" x14ac:dyDescent="0.25">
      <c r="A150" s="178" t="s">
        <v>534</v>
      </c>
      <c r="B150" s="355" t="s">
        <v>188</v>
      </c>
      <c r="C150" s="348" t="s">
        <v>176</v>
      </c>
      <c r="D150" s="55" t="s">
        <v>143</v>
      </c>
      <c r="E150" s="118">
        <f>2010843787+1750209</f>
        <v>2012593996</v>
      </c>
      <c r="F150" s="245" t="s">
        <v>640</v>
      </c>
      <c r="G150" s="196">
        <v>42984</v>
      </c>
      <c r="H150" s="163">
        <v>1630902678</v>
      </c>
      <c r="I150" s="74">
        <f>137.99/111.82</f>
        <v>1.2340368449293508</v>
      </c>
      <c r="J150" s="76" t="s">
        <v>189</v>
      </c>
      <c r="K150" s="212">
        <f>+E150/I150</f>
        <v>1630902678.6920791</v>
      </c>
      <c r="L150" s="173" t="s">
        <v>178</v>
      </c>
      <c r="M150" s="54"/>
      <c r="N150" s="1" t="s">
        <v>1010</v>
      </c>
    </row>
    <row r="151" spans="1:18" ht="15" x14ac:dyDescent="0.25">
      <c r="A151" s="178" t="s">
        <v>534</v>
      </c>
      <c r="B151" s="355" t="s">
        <v>190</v>
      </c>
      <c r="C151" s="348" t="s">
        <v>176</v>
      </c>
      <c r="D151" s="55" t="s">
        <v>143</v>
      </c>
      <c r="E151" s="118">
        <v>2013469099</v>
      </c>
      <c r="F151" s="245" t="s">
        <v>641</v>
      </c>
      <c r="G151" s="196">
        <v>43017</v>
      </c>
      <c r="H151" s="163">
        <v>1630902678</v>
      </c>
      <c r="I151" s="74">
        <f>138.05/111.82</f>
        <v>1.2345734215703812</v>
      </c>
      <c r="J151" s="76" t="s">
        <v>191</v>
      </c>
      <c r="K151" s="212">
        <f>+E151/I151</f>
        <v>1630902677.6543279</v>
      </c>
      <c r="L151" s="173" t="s">
        <v>178</v>
      </c>
      <c r="M151" s="54"/>
      <c r="N151" s="1" t="s">
        <v>1010</v>
      </c>
    </row>
    <row r="152" spans="1:18" ht="15" x14ac:dyDescent="0.25">
      <c r="A152" s="178" t="s">
        <v>534</v>
      </c>
      <c r="B152" s="355" t="s">
        <v>192</v>
      </c>
      <c r="C152" s="348" t="s">
        <v>176</v>
      </c>
      <c r="D152" s="55" t="s">
        <v>143</v>
      </c>
      <c r="E152" s="118">
        <v>2013469099</v>
      </c>
      <c r="F152" s="245" t="s">
        <v>642</v>
      </c>
      <c r="G152" s="196">
        <v>43039</v>
      </c>
      <c r="H152" s="163">
        <v>1630902678</v>
      </c>
      <c r="I152" s="74">
        <f>138.05/111.82</f>
        <v>1.2345734215703812</v>
      </c>
      <c r="J152" s="76" t="s">
        <v>191</v>
      </c>
      <c r="K152" s="212">
        <f>+E152/I152</f>
        <v>1630902677.6543279</v>
      </c>
      <c r="L152" s="173" t="s">
        <v>178</v>
      </c>
      <c r="M152" s="54"/>
      <c r="N152" s="1" t="s">
        <v>1010</v>
      </c>
    </row>
    <row r="153" spans="1:18" ht="15" x14ac:dyDescent="0.25">
      <c r="A153" s="178" t="s">
        <v>534</v>
      </c>
      <c r="B153" s="355" t="s">
        <v>311</v>
      </c>
      <c r="C153" s="348" t="s">
        <v>176</v>
      </c>
      <c r="D153" s="55" t="s">
        <v>143</v>
      </c>
      <c r="E153" s="118">
        <v>7470065162</v>
      </c>
      <c r="F153" s="245" t="s">
        <v>312</v>
      </c>
      <c r="G153" s="196">
        <v>43354</v>
      </c>
      <c r="H153" s="163"/>
      <c r="I153" s="74">
        <f>142.27/111.82</f>
        <v>1.2723126453228404</v>
      </c>
      <c r="J153" s="76" t="s">
        <v>417</v>
      </c>
      <c r="K153" s="212">
        <f>+E153/I153</f>
        <v>5871249640.9280939</v>
      </c>
      <c r="L153" s="173" t="s">
        <v>178</v>
      </c>
      <c r="M153" s="54" t="s">
        <v>1021</v>
      </c>
    </row>
    <row r="154" spans="1:18" ht="15" x14ac:dyDescent="0.25">
      <c r="A154" s="178" t="s">
        <v>534</v>
      </c>
      <c r="B154" s="355" t="s">
        <v>418</v>
      </c>
      <c r="C154" s="348" t="s">
        <v>176</v>
      </c>
      <c r="D154" s="55" t="s">
        <v>143</v>
      </c>
      <c r="E154" s="118">
        <v>9700000000</v>
      </c>
      <c r="F154" s="245" t="s">
        <v>403</v>
      </c>
      <c r="G154" s="196">
        <v>43612</v>
      </c>
      <c r="H154" s="163"/>
      <c r="I154" s="74">
        <f>102.12/78.05</f>
        <v>1.3083920563741192</v>
      </c>
      <c r="J154" s="76" t="s">
        <v>401</v>
      </c>
      <c r="K154" s="212">
        <f>+E154/I154</f>
        <v>7413679984.3321581</v>
      </c>
      <c r="L154" s="173" t="s">
        <v>643</v>
      </c>
      <c r="M154" s="54" t="s">
        <v>1020</v>
      </c>
    </row>
    <row r="155" spans="1:18" ht="15" x14ac:dyDescent="0.25">
      <c r="A155" s="178" t="s">
        <v>534</v>
      </c>
      <c r="B155" s="146" t="s">
        <v>838</v>
      </c>
      <c r="C155" s="348" t="s">
        <v>176</v>
      </c>
      <c r="D155" s="55" t="s">
        <v>143</v>
      </c>
      <c r="E155" s="118">
        <v>3700813045</v>
      </c>
      <c r="F155" s="245" t="s">
        <v>644</v>
      </c>
      <c r="G155" s="196">
        <v>43879</v>
      </c>
      <c r="H155" s="163"/>
      <c r="I155" s="74">
        <f>104.24/78.05</f>
        <v>1.3355541319666879</v>
      </c>
      <c r="J155" s="76" t="s">
        <v>645</v>
      </c>
      <c r="K155" s="212">
        <f>+E155/I155</f>
        <v>2770994418.2871261</v>
      </c>
      <c r="L155" s="173" t="s">
        <v>646</v>
      </c>
      <c r="M155" s="54" t="s">
        <v>1019</v>
      </c>
    </row>
    <row r="156" spans="1:18" ht="15" x14ac:dyDescent="0.25">
      <c r="A156" s="178" t="s">
        <v>534</v>
      </c>
      <c r="B156" s="146" t="s">
        <v>838</v>
      </c>
      <c r="C156" s="348" t="s">
        <v>176</v>
      </c>
      <c r="D156" s="55" t="s">
        <v>143</v>
      </c>
      <c r="E156" s="118">
        <v>872133354</v>
      </c>
      <c r="F156" s="245" t="s">
        <v>644</v>
      </c>
      <c r="G156" s="196">
        <v>43916</v>
      </c>
      <c r="H156" s="163"/>
      <c r="I156" s="74">
        <f>104.94/78.05</f>
        <v>1.3445227418321588</v>
      </c>
      <c r="J156" s="76" t="s">
        <v>647</v>
      </c>
      <c r="K156" s="212">
        <f>+E156/I156</f>
        <v>648656453.97084045</v>
      </c>
      <c r="L156" s="173" t="s">
        <v>646</v>
      </c>
      <c r="M156" s="54" t="s">
        <v>964</v>
      </c>
    </row>
    <row r="157" spans="1:18" ht="15" x14ac:dyDescent="0.25">
      <c r="A157" s="178" t="s">
        <v>534</v>
      </c>
      <c r="B157" s="146" t="s">
        <v>838</v>
      </c>
      <c r="C157" s="348" t="s">
        <v>176</v>
      </c>
      <c r="D157" s="55" t="s">
        <v>143</v>
      </c>
      <c r="E157" s="118">
        <v>1934253887</v>
      </c>
      <c r="F157" s="245" t="s">
        <v>644</v>
      </c>
      <c r="G157" s="196">
        <v>43936</v>
      </c>
      <c r="H157" s="163"/>
      <c r="I157" s="74">
        <f>105.53/78.05</f>
        <v>1.35208199871877</v>
      </c>
      <c r="J157" s="76" t="s">
        <v>648</v>
      </c>
      <c r="K157" s="212">
        <f>+E157/I157</f>
        <v>1430574394.7725766</v>
      </c>
      <c r="L157" s="173" t="s">
        <v>646</v>
      </c>
      <c r="M157" s="54" t="s">
        <v>1018</v>
      </c>
    </row>
    <row r="158" spans="1:18" s="26" customFormat="1" ht="15" x14ac:dyDescent="0.2">
      <c r="A158" s="230" t="s">
        <v>534</v>
      </c>
      <c r="B158" s="355" t="s">
        <v>838</v>
      </c>
      <c r="C158" s="348" t="s">
        <v>176</v>
      </c>
      <c r="D158" s="55" t="s">
        <v>143</v>
      </c>
      <c r="E158" s="140">
        <v>993588244.62</v>
      </c>
      <c r="F158" s="243" t="s">
        <v>644</v>
      </c>
      <c r="G158" s="198">
        <v>43972</v>
      </c>
      <c r="H158" s="145"/>
      <c r="I158" s="117">
        <f>[26]IPC!$S$13/78.05</f>
        <v>1.3542600896860988</v>
      </c>
      <c r="J158" s="229" t="s">
        <v>649</v>
      </c>
      <c r="K158" s="50">
        <f>+E158/I158</f>
        <v>733676087.9147681</v>
      </c>
      <c r="L158" s="173" t="s">
        <v>646</v>
      </c>
      <c r="M158" s="228" t="s">
        <v>1017</v>
      </c>
      <c r="N158" s="1"/>
      <c r="O158" s="227"/>
      <c r="P158" s="227"/>
      <c r="Q158" s="227"/>
      <c r="R158" s="227"/>
    </row>
    <row r="159" spans="1:18" s="26" customFormat="1" ht="25.5" x14ac:dyDescent="0.25">
      <c r="A159" s="230" t="s">
        <v>534</v>
      </c>
      <c r="B159" s="355" t="s">
        <v>838</v>
      </c>
      <c r="C159" s="348" t="s">
        <v>176</v>
      </c>
      <c r="D159" s="55" t="s">
        <v>143</v>
      </c>
      <c r="E159" s="140">
        <v>738635363.88</v>
      </c>
      <c r="F159" s="243" t="s">
        <v>644</v>
      </c>
      <c r="G159" s="198">
        <v>43978</v>
      </c>
      <c r="H159" s="145"/>
      <c r="I159" s="117">
        <f>[26]IPC!$S$13/78.05</f>
        <v>1.3542600896860988</v>
      </c>
      <c r="J159" s="229" t="s">
        <v>649</v>
      </c>
      <c r="K159" s="50">
        <f>+E159/I159</f>
        <v>545416179.28887415</v>
      </c>
      <c r="L159" s="173" t="s">
        <v>646</v>
      </c>
      <c r="M159" s="228" t="s">
        <v>890</v>
      </c>
      <c r="N159" s="227" t="s">
        <v>1016</v>
      </c>
      <c r="O159" s="227"/>
      <c r="P159" s="227"/>
      <c r="Q159" s="227"/>
      <c r="R159" s="227"/>
    </row>
    <row r="160" spans="1:18" s="26" customFormat="1" ht="25.5" x14ac:dyDescent="0.25">
      <c r="A160" s="230" t="s">
        <v>534</v>
      </c>
      <c r="B160" s="355" t="s">
        <v>838</v>
      </c>
      <c r="C160" s="348" t="s">
        <v>176</v>
      </c>
      <c r="D160" s="55" t="s">
        <v>143</v>
      </c>
      <c r="E160" s="244">
        <v>17584629</v>
      </c>
      <c r="F160" s="243" t="s">
        <v>644</v>
      </c>
      <c r="G160" s="198">
        <v>43993</v>
      </c>
      <c r="H160" s="145"/>
      <c r="I160" s="117">
        <f>[26]IPC!$S$14/78.05</f>
        <v>1.3499039077514414</v>
      </c>
      <c r="J160" s="229" t="s">
        <v>650</v>
      </c>
      <c r="K160" s="50">
        <f>+E160/I160</f>
        <v>13026578.33570615</v>
      </c>
      <c r="L160" s="173" t="s">
        <v>646</v>
      </c>
      <c r="M160" s="228" t="s">
        <v>889</v>
      </c>
      <c r="O160" s="227"/>
      <c r="P160" s="227"/>
      <c r="Q160" s="227"/>
      <c r="R160" s="227"/>
    </row>
    <row r="161" spans="1:18" s="26" customFormat="1" ht="15" x14ac:dyDescent="0.25">
      <c r="A161" s="230" t="s">
        <v>534</v>
      </c>
      <c r="B161" s="355" t="s">
        <v>838</v>
      </c>
      <c r="C161" s="348" t="s">
        <v>176</v>
      </c>
      <c r="D161" s="55" t="s">
        <v>143</v>
      </c>
      <c r="E161" s="244">
        <v>750489233.00999999</v>
      </c>
      <c r="F161" s="243" t="s">
        <v>644</v>
      </c>
      <c r="G161" s="198">
        <v>44018</v>
      </c>
      <c r="H161" s="145"/>
      <c r="I161" s="117">
        <f>[26]IPC!$S$15/78.05</f>
        <v>1.3449071108263935</v>
      </c>
      <c r="J161" s="229" t="s">
        <v>651</v>
      </c>
      <c r="K161" s="50">
        <f>+E161/I161</f>
        <v>558023098.37506425</v>
      </c>
      <c r="L161" s="173" t="s">
        <v>646</v>
      </c>
      <c r="M161" s="228" t="s">
        <v>888</v>
      </c>
      <c r="O161" s="227"/>
      <c r="P161" s="227"/>
      <c r="Q161" s="227"/>
      <c r="R161" s="227"/>
    </row>
    <row r="162" spans="1:18" s="26" customFormat="1" ht="15" x14ac:dyDescent="0.25">
      <c r="A162" s="230" t="s">
        <v>534</v>
      </c>
      <c r="B162" s="355" t="s">
        <v>838</v>
      </c>
      <c r="C162" s="348" t="s">
        <v>176</v>
      </c>
      <c r="D162" s="55" t="s">
        <v>143</v>
      </c>
      <c r="E162" s="244">
        <v>181387196.86000001</v>
      </c>
      <c r="F162" s="243" t="s">
        <v>644</v>
      </c>
      <c r="G162" s="198">
        <v>44061</v>
      </c>
      <c r="H162" s="145"/>
      <c r="I162" s="117">
        <f>[26]IPC!$S$16/78.05</f>
        <v>1.3449071108263935</v>
      </c>
      <c r="J162" s="229" t="s">
        <v>887</v>
      </c>
      <c r="K162" s="50">
        <f>+E162/I162</f>
        <v>134869683.86132228</v>
      </c>
      <c r="L162" s="173" t="s">
        <v>646</v>
      </c>
      <c r="M162" s="228" t="s">
        <v>886</v>
      </c>
      <c r="O162" s="227"/>
      <c r="P162" s="227"/>
      <c r="Q162" s="227"/>
      <c r="R162" s="227"/>
    </row>
    <row r="163" spans="1:18" s="26" customFormat="1" ht="15" x14ac:dyDescent="0.25">
      <c r="A163" s="230" t="s">
        <v>534</v>
      </c>
      <c r="B163" s="355" t="s">
        <v>838</v>
      </c>
      <c r="C163" s="348" t="s">
        <v>176</v>
      </c>
      <c r="D163" s="55" t="s">
        <v>143</v>
      </c>
      <c r="E163" s="244">
        <v>534754668.94</v>
      </c>
      <c r="F163" s="243" t="s">
        <v>644</v>
      </c>
      <c r="G163" s="198">
        <v>44089</v>
      </c>
      <c r="H163" s="145"/>
      <c r="I163" s="117">
        <f>[26]IPC!$S$17/78.05</f>
        <v>1.3447789878283152</v>
      </c>
      <c r="J163" s="229" t="s">
        <v>885</v>
      </c>
      <c r="K163" s="50">
        <f>+E163/I163</f>
        <v>397652457.22910631</v>
      </c>
      <c r="L163" s="173" t="s">
        <v>646</v>
      </c>
      <c r="M163" s="228" t="s">
        <v>884</v>
      </c>
      <c r="O163" s="227"/>
      <c r="P163" s="227"/>
      <c r="Q163" s="227"/>
      <c r="R163" s="227"/>
    </row>
    <row r="164" spans="1:18" s="26" customFormat="1" ht="15" x14ac:dyDescent="0.25">
      <c r="A164" s="230"/>
      <c r="B164" s="355" t="s">
        <v>838</v>
      </c>
      <c r="C164" s="348" t="s">
        <v>176</v>
      </c>
      <c r="D164" s="55" t="s">
        <v>143</v>
      </c>
      <c r="E164" s="244">
        <v>165626011.69</v>
      </c>
      <c r="F164" s="243" t="s">
        <v>644</v>
      </c>
      <c r="G164" s="198">
        <v>44132</v>
      </c>
      <c r="H164" s="145"/>
      <c r="I164" s="117">
        <f>[26]IPC!$S$18/78.05</f>
        <v>1.3490070467648945</v>
      </c>
      <c r="J164" s="229" t="s">
        <v>883</v>
      </c>
      <c r="K164" s="50">
        <f>+E164/I164</f>
        <v>122776239.07687813</v>
      </c>
      <c r="L164" s="173" t="s">
        <v>646</v>
      </c>
      <c r="M164" s="228" t="s">
        <v>882</v>
      </c>
      <c r="O164" s="227"/>
      <c r="P164" s="227"/>
      <c r="Q164" s="227"/>
      <c r="R164" s="227"/>
    </row>
    <row r="165" spans="1:18" s="26" customFormat="1" ht="15" x14ac:dyDescent="0.25">
      <c r="A165" s="230"/>
      <c r="B165" s="355" t="s">
        <v>838</v>
      </c>
      <c r="C165" s="348" t="s">
        <v>176</v>
      </c>
      <c r="D165" s="55" t="s">
        <v>143</v>
      </c>
      <c r="E165" s="244">
        <v>1548488</v>
      </c>
      <c r="F165" s="243" t="s">
        <v>644</v>
      </c>
      <c r="G165" s="198">
        <v>44162</v>
      </c>
      <c r="H165" s="145"/>
      <c r="I165" s="117">
        <f>[26]IPC!$S$19/78.05</f>
        <v>1.3482383087764254</v>
      </c>
      <c r="J165" s="229" t="s">
        <v>1112</v>
      </c>
      <c r="K165" s="50">
        <f>+E165/I165</f>
        <v>1148526.9257816211</v>
      </c>
      <c r="L165" s="173" t="s">
        <v>646</v>
      </c>
      <c r="M165" s="228" t="s">
        <v>1111</v>
      </c>
      <c r="O165" s="227"/>
      <c r="P165" s="227"/>
      <c r="Q165" s="227"/>
      <c r="R165" s="227"/>
    </row>
    <row r="166" spans="1:18" ht="26.25" x14ac:dyDescent="0.25">
      <c r="A166" s="337" t="s">
        <v>534</v>
      </c>
      <c r="B166" s="336" t="s">
        <v>838</v>
      </c>
      <c r="C166" s="348" t="s">
        <v>176</v>
      </c>
      <c r="D166" s="334" t="s">
        <v>143</v>
      </c>
      <c r="E166" s="333">
        <v>3518806545</v>
      </c>
      <c r="F166" s="332"/>
      <c r="G166" s="331">
        <v>43916</v>
      </c>
      <c r="H166" s="330"/>
      <c r="I166" s="329">
        <f>104.94/78.05</f>
        <v>1.3445227418321588</v>
      </c>
      <c r="J166" s="328" t="s">
        <v>735</v>
      </c>
      <c r="K166" s="327">
        <f>+E166/I166</f>
        <v>2617141707.9974275</v>
      </c>
      <c r="L166" s="326" t="s">
        <v>1368</v>
      </c>
      <c r="M166" s="325" t="s">
        <v>964</v>
      </c>
      <c r="N166" s="324" t="s">
        <v>1110</v>
      </c>
      <c r="O166" s="181"/>
      <c r="P166" s="181"/>
      <c r="Q166" s="181"/>
    </row>
    <row r="167" spans="1:18" s="180" customFormat="1" ht="30" x14ac:dyDescent="0.25">
      <c r="A167" s="180" t="s">
        <v>475</v>
      </c>
      <c r="B167" s="356" t="s">
        <v>193</v>
      </c>
      <c r="C167" s="356"/>
      <c r="D167" s="356"/>
      <c r="E167" s="356"/>
      <c r="F167" s="356"/>
      <c r="G167" s="185"/>
      <c r="H167" s="356"/>
      <c r="I167" s="356"/>
      <c r="J167" s="356"/>
      <c r="K167" s="356"/>
      <c r="L167" s="356"/>
      <c r="M167" s="182"/>
      <c r="O167" s="181"/>
      <c r="P167" s="181"/>
      <c r="Q167" s="181"/>
      <c r="R167" s="181"/>
    </row>
    <row r="168" spans="1:18" s="180" customFormat="1" ht="15" x14ac:dyDescent="0.25">
      <c r="A168" s="184" t="s">
        <v>534</v>
      </c>
      <c r="B168" s="141" t="s">
        <v>130</v>
      </c>
      <c r="C168" s="142" t="s">
        <v>131</v>
      </c>
      <c r="D168" s="142" t="s">
        <v>132</v>
      </c>
      <c r="E168" s="842" t="s">
        <v>133</v>
      </c>
      <c r="F168" s="843"/>
      <c r="G168" s="842" t="s">
        <v>134</v>
      </c>
      <c r="H168" s="844"/>
      <c r="I168" s="844"/>
      <c r="J168" s="844"/>
      <c r="K168" s="843"/>
      <c r="L168" s="143" t="s">
        <v>97</v>
      </c>
      <c r="M168" s="143" t="s">
        <v>837</v>
      </c>
      <c r="O168" s="181"/>
      <c r="P168" s="181"/>
      <c r="Q168" s="181"/>
      <c r="R168" s="181"/>
    </row>
    <row r="169" spans="1:18" s="180" customFormat="1" ht="45" x14ac:dyDescent="0.25">
      <c r="A169" s="184" t="s">
        <v>534</v>
      </c>
      <c r="B169" s="141"/>
      <c r="C169" s="142"/>
      <c r="D169" s="142"/>
      <c r="E169" s="144" t="s">
        <v>135</v>
      </c>
      <c r="F169" s="144" t="s">
        <v>136</v>
      </c>
      <c r="G169" s="183" t="s">
        <v>619</v>
      </c>
      <c r="H169" s="144" t="s">
        <v>137</v>
      </c>
      <c r="I169" s="144" t="s">
        <v>138</v>
      </c>
      <c r="J169" s="144" t="s">
        <v>139</v>
      </c>
      <c r="K169" s="144" t="s">
        <v>140</v>
      </c>
      <c r="L169" s="143"/>
      <c r="M169" s="182"/>
      <c r="O169" s="181"/>
      <c r="P169" s="181"/>
      <c r="Q169" s="181"/>
      <c r="R169" s="181"/>
    </row>
    <row r="170" spans="1:18" ht="15" x14ac:dyDescent="0.25">
      <c r="A170" s="178" t="s">
        <v>534</v>
      </c>
      <c r="B170" s="355" t="s">
        <v>141</v>
      </c>
      <c r="C170" s="157" t="s">
        <v>652</v>
      </c>
      <c r="D170" s="55" t="s">
        <v>143</v>
      </c>
      <c r="E170" s="212">
        <v>4270238021</v>
      </c>
      <c r="F170" s="149" t="s">
        <v>144</v>
      </c>
      <c r="G170" s="206">
        <v>42645</v>
      </c>
      <c r="H170" s="164">
        <v>3885265434</v>
      </c>
      <c r="I170" s="39">
        <f>123.78/111.82</f>
        <v>1.1069576104453587</v>
      </c>
      <c r="J170" s="75" t="s">
        <v>152</v>
      </c>
      <c r="K170" s="212">
        <f>+E170/I170</f>
        <v>3857634638.1339469</v>
      </c>
      <c r="L170" s="173" t="s">
        <v>178</v>
      </c>
      <c r="M170" s="217"/>
      <c r="N170" s="1" t="s">
        <v>1010</v>
      </c>
    </row>
    <row r="171" spans="1:18" ht="15" x14ac:dyDescent="0.25">
      <c r="A171" s="178" t="s">
        <v>534</v>
      </c>
      <c r="B171" s="355" t="s">
        <v>141</v>
      </c>
      <c r="C171" s="157" t="s">
        <v>652</v>
      </c>
      <c r="D171" s="55" t="s">
        <v>143</v>
      </c>
      <c r="E171" s="212">
        <v>31161593</v>
      </c>
      <c r="F171" s="149" t="s">
        <v>144</v>
      </c>
      <c r="G171" s="206">
        <v>42395</v>
      </c>
      <c r="H171" s="164"/>
      <c r="I171" s="74">
        <f>126.15/111.82</f>
        <v>1.1281523877660526</v>
      </c>
      <c r="J171" s="76" t="s">
        <v>155</v>
      </c>
      <c r="K171" s="212">
        <f>+E171/I171</f>
        <v>27621794.128101464</v>
      </c>
      <c r="L171" s="173" t="s">
        <v>178</v>
      </c>
      <c r="M171" s="217"/>
      <c r="N171" s="1" t="s">
        <v>1010</v>
      </c>
    </row>
    <row r="172" spans="1:18" ht="15" x14ac:dyDescent="0.25">
      <c r="A172" s="178" t="s">
        <v>534</v>
      </c>
      <c r="B172" s="355" t="s">
        <v>145</v>
      </c>
      <c r="C172" s="157" t="s">
        <v>652</v>
      </c>
      <c r="D172" s="55" t="s">
        <v>143</v>
      </c>
      <c r="E172" s="212">
        <v>3890427652</v>
      </c>
      <c r="F172" s="149" t="s">
        <v>194</v>
      </c>
      <c r="G172" s="206">
        <v>42474</v>
      </c>
      <c r="H172" s="164">
        <v>3330227513</v>
      </c>
      <c r="I172" s="74">
        <f>130.63/111.82</f>
        <v>1.1682167769629763</v>
      </c>
      <c r="J172" s="76" t="s">
        <v>158</v>
      </c>
      <c r="K172" s="212">
        <f>+E172/I172</f>
        <v>3330227513.1795144</v>
      </c>
      <c r="L172" s="173" t="s">
        <v>178</v>
      </c>
      <c r="M172" s="217"/>
      <c r="N172" s="1" t="s">
        <v>1010</v>
      </c>
    </row>
    <row r="173" spans="1:18" ht="15" x14ac:dyDescent="0.25">
      <c r="A173" s="178" t="s">
        <v>534</v>
      </c>
      <c r="B173" s="355" t="s">
        <v>146</v>
      </c>
      <c r="C173" s="157" t="s">
        <v>652</v>
      </c>
      <c r="D173" s="55" t="s">
        <v>143</v>
      </c>
      <c r="E173" s="212">
        <v>3954459034</v>
      </c>
      <c r="F173" s="149" t="s">
        <v>195</v>
      </c>
      <c r="G173" s="242">
        <v>42650</v>
      </c>
      <c r="H173" s="164">
        <v>3330227513</v>
      </c>
      <c r="I173" s="74">
        <f>132.78/111.82</f>
        <v>1.1874441065998929</v>
      </c>
      <c r="J173" s="76" t="s">
        <v>164</v>
      </c>
      <c r="K173" s="212">
        <f>+E173/I173</f>
        <v>3330227513.0432291</v>
      </c>
      <c r="L173" s="173" t="s">
        <v>178</v>
      </c>
      <c r="M173" s="217"/>
      <c r="N173" s="1" t="s">
        <v>1010</v>
      </c>
    </row>
    <row r="174" spans="1:18" ht="15" x14ac:dyDescent="0.25">
      <c r="A174" s="178" t="s">
        <v>534</v>
      </c>
      <c r="B174" s="355" t="s">
        <v>147</v>
      </c>
      <c r="C174" s="157" t="s">
        <v>652</v>
      </c>
      <c r="D174" s="55" t="s">
        <v>143</v>
      </c>
      <c r="E174" s="241">
        <v>4092052050</v>
      </c>
      <c r="F174" s="149" t="s">
        <v>196</v>
      </c>
      <c r="G174" s="206">
        <v>42885</v>
      </c>
      <c r="H174" s="164">
        <v>3330227513</v>
      </c>
      <c r="I174" s="74">
        <f>137.4/111.82</f>
        <v>1.2287605079592203</v>
      </c>
      <c r="J174" s="76" t="s">
        <v>197</v>
      </c>
      <c r="K174" s="212">
        <f>+E174/I174</f>
        <v>3330227512.5982528</v>
      </c>
      <c r="L174" s="173" t="s">
        <v>178</v>
      </c>
      <c r="M174" s="217"/>
      <c r="N174" s="1" t="s">
        <v>1010</v>
      </c>
    </row>
    <row r="175" spans="1:18" ht="30" x14ac:dyDescent="0.25">
      <c r="A175" s="178" t="s">
        <v>534</v>
      </c>
      <c r="B175" s="355" t="s">
        <v>880</v>
      </c>
      <c r="C175" s="157" t="s">
        <v>881</v>
      </c>
      <c r="D175" s="55" t="s">
        <v>143</v>
      </c>
      <c r="E175" s="241">
        <v>32581947</v>
      </c>
      <c r="F175" s="149"/>
      <c r="G175" s="206">
        <v>42923</v>
      </c>
      <c r="H175" s="164"/>
      <c r="I175" s="74">
        <f>137.87/111.82</f>
        <v>1.2329636916472904</v>
      </c>
      <c r="J175" s="76" t="s">
        <v>187</v>
      </c>
      <c r="K175" s="212">
        <f>+E175/I175</f>
        <v>26425714.902009137</v>
      </c>
      <c r="L175" s="173" t="s">
        <v>880</v>
      </c>
      <c r="M175" s="217"/>
      <c r="N175" s="1" t="s">
        <v>1010</v>
      </c>
    </row>
    <row r="176" spans="1:18" ht="15" x14ac:dyDescent="0.25">
      <c r="A176" s="178" t="s">
        <v>534</v>
      </c>
      <c r="B176" s="355" t="s">
        <v>148</v>
      </c>
      <c r="C176" s="157" t="s">
        <v>652</v>
      </c>
      <c r="D176" s="55" t="s">
        <v>143</v>
      </c>
      <c r="E176" s="118">
        <v>4111410375</v>
      </c>
      <c r="F176" s="149" t="s">
        <v>198</v>
      </c>
      <c r="G176" s="206">
        <v>43017</v>
      </c>
      <c r="H176" s="164">
        <v>3330227513</v>
      </c>
      <c r="I176" s="74">
        <f>138.05/111.82</f>
        <v>1.2345734215703812</v>
      </c>
      <c r="J176" s="76" t="s">
        <v>191</v>
      </c>
      <c r="K176" s="212">
        <f>+E176/I176</f>
        <v>3330227512.7308941</v>
      </c>
      <c r="L176" s="173" t="s">
        <v>178</v>
      </c>
      <c r="M176" s="217"/>
      <c r="N176" s="1" t="s">
        <v>1010</v>
      </c>
    </row>
    <row r="177" spans="1:18" ht="15" x14ac:dyDescent="0.25">
      <c r="A177" s="178" t="s">
        <v>534</v>
      </c>
      <c r="B177" s="355" t="s">
        <v>149</v>
      </c>
      <c r="C177" s="157" t="s">
        <v>652</v>
      </c>
      <c r="D177" s="55" t="s">
        <v>143</v>
      </c>
      <c r="E177" s="118">
        <v>4200756490</v>
      </c>
      <c r="F177" s="149" t="s">
        <v>199</v>
      </c>
      <c r="G177" s="206">
        <v>43209</v>
      </c>
      <c r="H177" s="164">
        <v>3330227513</v>
      </c>
      <c r="I177" s="74">
        <f>141.05/111.82</f>
        <v>1.2614022536218925</v>
      </c>
      <c r="J177" s="76" t="s">
        <v>200</v>
      </c>
      <c r="K177" s="237">
        <f>E177/I177</f>
        <v>3330227513.0223322</v>
      </c>
      <c r="L177" s="173" t="s">
        <v>178</v>
      </c>
      <c r="M177" s="217" t="s">
        <v>1001</v>
      </c>
    </row>
    <row r="178" spans="1:18" ht="15" x14ac:dyDescent="0.25">
      <c r="A178" s="178" t="s">
        <v>534</v>
      </c>
      <c r="B178" s="355" t="s">
        <v>150</v>
      </c>
      <c r="C178" s="157" t="s">
        <v>652</v>
      </c>
      <c r="D178" s="55" t="s">
        <v>143</v>
      </c>
      <c r="E178" s="118">
        <v>4243940445</v>
      </c>
      <c r="F178" s="149" t="s">
        <v>201</v>
      </c>
      <c r="G178" s="206">
        <v>43384</v>
      </c>
      <c r="H178" s="164">
        <v>3330227513</v>
      </c>
      <c r="I178" s="74">
        <f>142.5/111.82</f>
        <v>1.2743695224467895</v>
      </c>
      <c r="J178" s="76" t="s">
        <v>316</v>
      </c>
      <c r="K178" s="237">
        <f>E178/I178</f>
        <v>3330227512.7010527</v>
      </c>
      <c r="L178" s="173" t="s">
        <v>178</v>
      </c>
      <c r="M178" s="217" t="s">
        <v>974</v>
      </c>
    </row>
    <row r="179" spans="1:18" ht="15" x14ac:dyDescent="0.25">
      <c r="A179" s="178" t="s">
        <v>534</v>
      </c>
      <c r="B179" s="355" t="s">
        <v>151</v>
      </c>
      <c r="C179" s="157" t="s">
        <v>652</v>
      </c>
      <c r="D179" s="55" t="s">
        <v>143</v>
      </c>
      <c r="E179" s="118">
        <v>4335995951</v>
      </c>
      <c r="F179" s="199" t="s">
        <v>202</v>
      </c>
      <c r="G179" s="206">
        <v>43580</v>
      </c>
      <c r="H179" s="164">
        <v>3330227513</v>
      </c>
      <c r="I179" s="74">
        <f>101.62/78.05</f>
        <v>1.3019859064702115</v>
      </c>
      <c r="J179" s="76" t="s">
        <v>347</v>
      </c>
      <c r="K179" s="237">
        <f>E179/I179</f>
        <v>3330294075.7286949</v>
      </c>
      <c r="L179" s="173" t="s">
        <v>653</v>
      </c>
      <c r="M179" s="217" t="s">
        <v>1015</v>
      </c>
    </row>
    <row r="180" spans="1:18" ht="15" x14ac:dyDescent="0.25">
      <c r="A180" s="178" t="s">
        <v>534</v>
      </c>
      <c r="B180" s="355" t="s">
        <v>179</v>
      </c>
      <c r="C180" s="157" t="s">
        <v>652</v>
      </c>
      <c r="D180" s="55" t="s">
        <v>143</v>
      </c>
      <c r="E180" s="118">
        <v>3687610549</v>
      </c>
      <c r="F180" s="199" t="s">
        <v>203</v>
      </c>
      <c r="G180" s="236">
        <v>43748</v>
      </c>
      <c r="H180" s="175">
        <v>2787313610</v>
      </c>
      <c r="I180" s="74">
        <f>103.26/78.05</f>
        <v>1.322998078155029</v>
      </c>
      <c r="J180" s="76" t="s">
        <v>470</v>
      </c>
      <c r="K180" s="237">
        <f>E180/I180</f>
        <v>2787313609.8145456</v>
      </c>
      <c r="L180" s="173" t="s">
        <v>178</v>
      </c>
      <c r="M180" s="217" t="s">
        <v>1005</v>
      </c>
    </row>
    <row r="181" spans="1:18" ht="15" x14ac:dyDescent="0.25">
      <c r="A181" s="178" t="s">
        <v>534</v>
      </c>
      <c r="B181" s="355" t="s">
        <v>180</v>
      </c>
      <c r="C181" s="157" t="s">
        <v>652</v>
      </c>
      <c r="D181" s="55" t="s">
        <v>143</v>
      </c>
      <c r="E181" s="118">
        <v>3768676557</v>
      </c>
      <c r="F181" s="199" t="s">
        <v>204</v>
      </c>
      <c r="G181" s="236">
        <v>43935</v>
      </c>
      <c r="H181" s="175">
        <v>2787313610</v>
      </c>
      <c r="I181" s="74">
        <f>105.53/78.05</f>
        <v>1.35208199871877</v>
      </c>
      <c r="J181" s="76" t="s">
        <v>654</v>
      </c>
      <c r="K181" s="237">
        <f>E181/I181</f>
        <v>2787313610.0999718</v>
      </c>
      <c r="L181" s="173" t="s">
        <v>178</v>
      </c>
      <c r="M181" s="217" t="s">
        <v>990</v>
      </c>
    </row>
    <row r="182" spans="1:18" ht="15" x14ac:dyDescent="0.2">
      <c r="A182" s="178" t="s">
        <v>534</v>
      </c>
      <c r="B182" s="857" t="s">
        <v>181</v>
      </c>
      <c r="C182" s="157" t="s">
        <v>652</v>
      </c>
      <c r="D182" s="55" t="s">
        <v>143</v>
      </c>
      <c r="E182" s="240">
        <v>2486181857.1399999</v>
      </c>
      <c r="F182" s="199" t="s">
        <v>205</v>
      </c>
      <c r="G182" s="236">
        <v>44126</v>
      </c>
      <c r="H182" s="861">
        <v>1848766139</v>
      </c>
      <c r="I182" s="74">
        <f>[26]IPC!$S$18/78.05</f>
        <v>1.3490070467648945</v>
      </c>
      <c r="J182" s="76" t="s">
        <v>879</v>
      </c>
      <c r="K182" s="237">
        <f>E182/I182</f>
        <v>1842971734.7305248</v>
      </c>
      <c r="L182" s="239" t="str">
        <f>IF(K182&lt;H182,"Incumplió","Cumplió")</f>
        <v>Incumplió</v>
      </c>
      <c r="M182" s="54" t="s">
        <v>878</v>
      </c>
      <c r="N182" s="238"/>
    </row>
    <row r="183" spans="1:18" ht="15" x14ac:dyDescent="0.2">
      <c r="A183" s="178"/>
      <c r="B183" s="858"/>
      <c r="C183" s="157" t="s">
        <v>652</v>
      </c>
      <c r="D183" s="55" t="s">
        <v>143</v>
      </c>
      <c r="E183" s="240">
        <v>7816692</v>
      </c>
      <c r="F183" s="199" t="s">
        <v>900</v>
      </c>
      <c r="G183" s="236">
        <v>44134</v>
      </c>
      <c r="H183" s="862"/>
      <c r="I183" s="74">
        <f>[26]IPC!$S$18/78.05</f>
        <v>1.3490070467648945</v>
      </c>
      <c r="J183" s="76" t="s">
        <v>879</v>
      </c>
      <c r="K183" s="237">
        <f>E183/I183</f>
        <v>5794404.1276474493</v>
      </c>
      <c r="L183" s="173" t="s">
        <v>178</v>
      </c>
      <c r="M183" s="54" t="s">
        <v>896</v>
      </c>
      <c r="N183" s="238"/>
    </row>
    <row r="184" spans="1:18" ht="15" x14ac:dyDescent="0.2">
      <c r="A184" s="178" t="s">
        <v>534</v>
      </c>
      <c r="B184" s="355" t="s">
        <v>182</v>
      </c>
      <c r="C184" s="158"/>
      <c r="D184" s="55" t="s">
        <v>143</v>
      </c>
      <c r="E184" s="173"/>
      <c r="F184" s="199" t="s">
        <v>206</v>
      </c>
      <c r="G184" s="236"/>
      <c r="H184" s="175">
        <v>1848766139</v>
      </c>
      <c r="I184" s="169"/>
      <c r="J184" s="169"/>
      <c r="K184" s="237">
        <v>0</v>
      </c>
      <c r="L184" s="173"/>
      <c r="M184" s="54"/>
    </row>
    <row r="185" spans="1:18" s="26" customFormat="1" ht="38.25" x14ac:dyDescent="0.25">
      <c r="A185" s="230" t="s">
        <v>534</v>
      </c>
      <c r="B185" s="355" t="s">
        <v>183</v>
      </c>
      <c r="C185" s="158"/>
      <c r="D185" s="55" t="s">
        <v>143</v>
      </c>
      <c r="E185" s="173"/>
      <c r="F185" s="199" t="s">
        <v>655</v>
      </c>
      <c r="G185" s="236"/>
      <c r="H185" s="175">
        <v>2542964000</v>
      </c>
      <c r="I185" s="169"/>
      <c r="J185" s="169"/>
      <c r="K185" s="235">
        <v>0</v>
      </c>
      <c r="L185" s="173"/>
      <c r="M185" s="228"/>
      <c r="O185" s="227"/>
      <c r="P185" s="227"/>
      <c r="Q185" s="227"/>
      <c r="R185" s="227"/>
    </row>
    <row r="186" spans="1:18" s="26" customFormat="1" ht="15" x14ac:dyDescent="0.25">
      <c r="A186" s="230" t="s">
        <v>534</v>
      </c>
      <c r="B186" s="355"/>
      <c r="C186" s="158"/>
      <c r="D186" s="55"/>
      <c r="E186" s="173"/>
      <c r="F186" s="199"/>
      <c r="G186" s="236"/>
      <c r="H186" s="175"/>
      <c r="I186" s="169"/>
      <c r="J186" s="169"/>
      <c r="K186" s="235"/>
      <c r="L186" s="173"/>
      <c r="M186" s="228"/>
      <c r="O186" s="227"/>
      <c r="P186" s="227"/>
      <c r="Q186" s="227"/>
      <c r="R186" s="227"/>
    </row>
    <row r="187" spans="1:18" s="180" customFormat="1" ht="15" x14ac:dyDescent="0.25">
      <c r="A187" s="180" t="s">
        <v>476</v>
      </c>
      <c r="B187" s="356" t="s">
        <v>207</v>
      </c>
      <c r="C187" s="356"/>
      <c r="D187" s="356"/>
      <c r="E187" s="356"/>
      <c r="F187" s="356"/>
      <c r="G187" s="185"/>
      <c r="H187" s="356"/>
      <c r="I187" s="356"/>
      <c r="J187" s="356"/>
      <c r="K187" s="356"/>
      <c r="L187" s="356"/>
      <c r="M187" s="182"/>
      <c r="O187" s="181"/>
      <c r="P187" s="181"/>
      <c r="Q187" s="181"/>
      <c r="R187" s="181"/>
    </row>
    <row r="188" spans="1:18" s="357" customFormat="1" ht="15" x14ac:dyDescent="0.2">
      <c r="A188" s="234" t="s">
        <v>534</v>
      </c>
      <c r="B188" s="141" t="s">
        <v>130</v>
      </c>
      <c r="C188" s="142" t="s">
        <v>131</v>
      </c>
      <c r="D188" s="142" t="s">
        <v>132</v>
      </c>
      <c r="E188" s="842" t="s">
        <v>133</v>
      </c>
      <c r="F188" s="843"/>
      <c r="G188" s="842" t="s">
        <v>134</v>
      </c>
      <c r="H188" s="844"/>
      <c r="I188" s="844"/>
      <c r="J188" s="844"/>
      <c r="K188" s="843"/>
      <c r="L188" s="143" t="s">
        <v>97</v>
      </c>
      <c r="M188" s="143" t="s">
        <v>837</v>
      </c>
      <c r="O188" s="233"/>
      <c r="P188" s="233"/>
      <c r="Q188" s="233"/>
      <c r="R188" s="233"/>
    </row>
    <row r="189" spans="1:18" s="357" customFormat="1" ht="45" x14ac:dyDescent="0.2">
      <c r="A189" s="234" t="s">
        <v>534</v>
      </c>
      <c r="B189" s="141"/>
      <c r="C189" s="142"/>
      <c r="D189" s="142"/>
      <c r="E189" s="144" t="s">
        <v>135</v>
      </c>
      <c r="F189" s="144" t="s">
        <v>136</v>
      </c>
      <c r="G189" s="183" t="s">
        <v>619</v>
      </c>
      <c r="H189" s="144" t="s">
        <v>137</v>
      </c>
      <c r="I189" s="144" t="s">
        <v>138</v>
      </c>
      <c r="J189" s="144" t="s">
        <v>139</v>
      </c>
      <c r="K189" s="144" t="s">
        <v>140</v>
      </c>
      <c r="L189" s="143"/>
      <c r="M189" s="188"/>
      <c r="O189" s="233"/>
      <c r="P189" s="233"/>
      <c r="Q189" s="233"/>
      <c r="R189" s="233"/>
    </row>
    <row r="190" spans="1:18" ht="28.5" x14ac:dyDescent="0.2">
      <c r="A190" s="178" t="s">
        <v>534</v>
      </c>
      <c r="B190" s="355" t="s">
        <v>141</v>
      </c>
      <c r="C190" s="157" t="s">
        <v>327</v>
      </c>
      <c r="D190" s="55" t="s">
        <v>143</v>
      </c>
      <c r="E190" s="231">
        <v>384680737</v>
      </c>
      <c r="F190" s="4" t="s">
        <v>144</v>
      </c>
      <c r="G190" s="232">
        <v>42278</v>
      </c>
      <c r="H190" s="861">
        <v>350000000</v>
      </c>
      <c r="I190" s="39">
        <f>123.78/111.82</f>
        <v>1.1069576104453587</v>
      </c>
      <c r="J190" s="75" t="s">
        <v>152</v>
      </c>
      <c r="K190" s="212">
        <f>+E190/I190</f>
        <v>347511714.42349327</v>
      </c>
      <c r="L190" s="173" t="s">
        <v>178</v>
      </c>
      <c r="M190" s="54"/>
      <c r="N190" s="1" t="s">
        <v>1010</v>
      </c>
    </row>
    <row r="191" spans="1:18" ht="28.5" x14ac:dyDescent="0.2">
      <c r="A191" s="178" t="s">
        <v>534</v>
      </c>
      <c r="B191" s="355" t="s">
        <v>141</v>
      </c>
      <c r="C191" s="157" t="s">
        <v>327</v>
      </c>
      <c r="D191" s="55" t="s">
        <v>143</v>
      </c>
      <c r="E191" s="231">
        <v>2807165</v>
      </c>
      <c r="F191" s="4" t="s">
        <v>144</v>
      </c>
      <c r="G191" s="232">
        <v>42395</v>
      </c>
      <c r="H191" s="862"/>
      <c r="I191" s="74">
        <f>126.15/111.82</f>
        <v>1.1281523877660526</v>
      </c>
      <c r="J191" s="76" t="s">
        <v>155</v>
      </c>
      <c r="K191" s="212">
        <f>+E191/I191</f>
        <v>2488285.297661514</v>
      </c>
      <c r="L191" s="173" t="s">
        <v>178</v>
      </c>
      <c r="M191" s="54"/>
      <c r="N191" s="1" t="s">
        <v>1010</v>
      </c>
    </row>
    <row r="192" spans="1:18" ht="42.75" x14ac:dyDescent="0.2">
      <c r="A192" s="178" t="s">
        <v>534</v>
      </c>
      <c r="B192" s="355" t="s">
        <v>145</v>
      </c>
      <c r="C192" s="157" t="s">
        <v>327</v>
      </c>
      <c r="D192" s="55" t="s">
        <v>143</v>
      </c>
      <c r="E192" s="231">
        <v>394853336</v>
      </c>
      <c r="F192" s="4" t="s">
        <v>656</v>
      </c>
      <c r="G192" s="232">
        <v>42398</v>
      </c>
      <c r="H192" s="164">
        <v>350000000</v>
      </c>
      <c r="I192" s="74">
        <f>126.15/111.82</f>
        <v>1.1281523877660526</v>
      </c>
      <c r="J192" s="76" t="s">
        <v>156</v>
      </c>
      <c r="K192" s="212">
        <f>+E192/I192</f>
        <v>350000000.24986124</v>
      </c>
      <c r="L192" s="173" t="s">
        <v>178</v>
      </c>
      <c r="M192" s="54"/>
      <c r="N192" s="1" t="s">
        <v>1010</v>
      </c>
    </row>
    <row r="193" spans="1:18" ht="42.75" x14ac:dyDescent="0.2">
      <c r="A193" s="178" t="s">
        <v>534</v>
      </c>
      <c r="B193" s="355" t="s">
        <v>146</v>
      </c>
      <c r="C193" s="157" t="s">
        <v>327</v>
      </c>
      <c r="D193" s="55" t="s">
        <v>143</v>
      </c>
      <c r="E193" s="231">
        <v>417546056</v>
      </c>
      <c r="F193" s="4" t="s">
        <v>656</v>
      </c>
      <c r="G193" s="232">
        <v>42765</v>
      </c>
      <c r="H193" s="164">
        <v>350000000</v>
      </c>
      <c r="I193" s="74">
        <f>133.4/111.82</f>
        <v>1.1929887318905386</v>
      </c>
      <c r="J193" s="76" t="s">
        <v>208</v>
      </c>
      <c r="K193" s="212">
        <f>+E193/I193</f>
        <v>349999999.86446768</v>
      </c>
      <c r="L193" s="173" t="s">
        <v>178</v>
      </c>
      <c r="M193" s="54"/>
      <c r="N193" s="1" t="s">
        <v>1010</v>
      </c>
    </row>
    <row r="194" spans="1:18" ht="42.75" x14ac:dyDescent="0.2">
      <c r="A194" s="178" t="s">
        <v>534</v>
      </c>
      <c r="B194" s="355" t="s">
        <v>147</v>
      </c>
      <c r="C194" s="157" t="s">
        <v>327</v>
      </c>
      <c r="D194" s="55" t="s">
        <v>143</v>
      </c>
      <c r="E194" s="231">
        <v>434604722</v>
      </c>
      <c r="F194" s="4" t="s">
        <v>656</v>
      </c>
      <c r="G194" s="232">
        <v>43223</v>
      </c>
      <c r="H194" s="861">
        <v>350000000</v>
      </c>
      <c r="I194" s="74">
        <f>141.05/111.82</f>
        <v>1.2614022536218925</v>
      </c>
      <c r="J194" s="76" t="s">
        <v>237</v>
      </c>
      <c r="K194" s="212">
        <f>+E194/I194</f>
        <v>344540943.02757883</v>
      </c>
      <c r="L194" s="173" t="s">
        <v>178</v>
      </c>
      <c r="M194" s="54" t="s">
        <v>1014</v>
      </c>
    </row>
    <row r="195" spans="1:18" ht="42.75" x14ac:dyDescent="0.2">
      <c r="A195" s="178" t="s">
        <v>534</v>
      </c>
      <c r="B195" s="355" t="s">
        <v>283</v>
      </c>
      <c r="C195" s="157" t="s">
        <v>327</v>
      </c>
      <c r="D195" s="55" t="s">
        <v>143</v>
      </c>
      <c r="E195" s="231">
        <v>10047398</v>
      </c>
      <c r="F195" s="4" t="s">
        <v>656</v>
      </c>
      <c r="G195" s="232">
        <v>43263</v>
      </c>
      <c r="H195" s="862"/>
      <c r="I195" s="74">
        <f>142.06/111.82</f>
        <v>1.2704346270792346</v>
      </c>
      <c r="J195" s="76" t="s">
        <v>237</v>
      </c>
      <c r="K195" s="212">
        <f>+E195/I195</f>
        <v>7908630.4685344212</v>
      </c>
      <c r="L195" s="173" t="s">
        <v>657</v>
      </c>
      <c r="M195" s="54" t="s">
        <v>1013</v>
      </c>
    </row>
    <row r="196" spans="1:18" ht="42.75" x14ac:dyDescent="0.2">
      <c r="A196" s="178" t="s">
        <v>534</v>
      </c>
      <c r="B196" s="355" t="s">
        <v>148</v>
      </c>
      <c r="C196" s="157" t="s">
        <v>327</v>
      </c>
      <c r="D196" s="55" t="s">
        <v>143</v>
      </c>
      <c r="E196" s="231">
        <v>446029333</v>
      </c>
      <c r="F196" s="4" t="s">
        <v>656</v>
      </c>
      <c r="G196" s="232">
        <v>43399</v>
      </c>
      <c r="H196" s="164">
        <v>350000000</v>
      </c>
      <c r="I196" s="74">
        <f>142.5/111.82</f>
        <v>1.2743695224467895</v>
      </c>
      <c r="J196" s="76" t="s">
        <v>316</v>
      </c>
      <c r="K196" s="212">
        <f>+E196/I196</f>
        <v>350000000.11270177</v>
      </c>
      <c r="L196" s="173" t="s">
        <v>178</v>
      </c>
      <c r="M196" s="54" t="s">
        <v>1012</v>
      </c>
    </row>
    <row r="197" spans="1:18" ht="42.75" x14ac:dyDescent="0.2">
      <c r="A197" s="178" t="s">
        <v>534</v>
      </c>
      <c r="B197" s="355" t="s">
        <v>149</v>
      </c>
      <c r="C197" s="157" t="s">
        <v>327</v>
      </c>
      <c r="D197" s="55" t="s">
        <v>143</v>
      </c>
      <c r="E197" s="231">
        <v>477093543</v>
      </c>
      <c r="F197" s="4" t="s">
        <v>656</v>
      </c>
      <c r="G197" s="232">
        <v>43445</v>
      </c>
      <c r="H197" s="164">
        <v>350000000</v>
      </c>
      <c r="I197" s="74">
        <f>142.84/111.82</f>
        <v>1.2774101234126276</v>
      </c>
      <c r="J197" s="76" t="s">
        <v>326</v>
      </c>
      <c r="K197" s="212">
        <f>+E197/I197</f>
        <v>373485018.04998595</v>
      </c>
      <c r="L197" s="173" t="s">
        <v>178</v>
      </c>
      <c r="M197" s="54" t="s">
        <v>1011</v>
      </c>
    </row>
    <row r="198" spans="1:18" ht="42.75" x14ac:dyDescent="0.2">
      <c r="A198" s="178" t="s">
        <v>534</v>
      </c>
      <c r="B198" s="355" t="s">
        <v>150</v>
      </c>
      <c r="C198" s="157" t="s">
        <v>327</v>
      </c>
      <c r="D198" s="55" t="s">
        <v>143</v>
      </c>
      <c r="E198" s="231">
        <v>463049327</v>
      </c>
      <c r="F198" s="4" t="s">
        <v>656</v>
      </c>
      <c r="G198" s="232">
        <v>43748</v>
      </c>
      <c r="H198" s="164">
        <v>350000000</v>
      </c>
      <c r="I198" s="74">
        <f>103.26/78.05</f>
        <v>1.322998078155029</v>
      </c>
      <c r="J198" s="76" t="s">
        <v>461</v>
      </c>
      <c r="K198" s="212">
        <f>+E198/I198</f>
        <v>349999999.73222929</v>
      </c>
      <c r="L198" s="173" t="s">
        <v>467</v>
      </c>
      <c r="M198" s="54" t="s">
        <v>1005</v>
      </c>
    </row>
    <row r="199" spans="1:18" ht="15" x14ac:dyDescent="0.2">
      <c r="A199" s="178" t="s">
        <v>534</v>
      </c>
      <c r="B199" s="857" t="s">
        <v>151</v>
      </c>
      <c r="C199" s="157" t="s">
        <v>327</v>
      </c>
      <c r="D199" s="55" t="s">
        <v>143</v>
      </c>
      <c r="E199" s="231">
        <v>470672645.74000001</v>
      </c>
      <c r="F199" s="847" t="s">
        <v>656</v>
      </c>
      <c r="G199" s="176">
        <v>44118</v>
      </c>
      <c r="H199" s="861">
        <v>350000000</v>
      </c>
      <c r="I199" s="74">
        <f>105.29/78.05</f>
        <v>1.3490070467648945</v>
      </c>
      <c r="J199" s="76" t="s">
        <v>877</v>
      </c>
      <c r="K199" s="212">
        <f>+E199/I199</f>
        <v>348903029.72748595</v>
      </c>
      <c r="L199" s="849" t="s">
        <v>876</v>
      </c>
      <c r="M199" s="54" t="s">
        <v>841</v>
      </c>
    </row>
    <row r="200" spans="1:18" ht="15" x14ac:dyDescent="0.2">
      <c r="A200" s="178"/>
      <c r="B200" s="858"/>
      <c r="C200" s="157" t="s">
        <v>327</v>
      </c>
      <c r="D200" s="55"/>
      <c r="E200" s="231">
        <v>1479820</v>
      </c>
      <c r="F200" s="848"/>
      <c r="G200" s="176">
        <v>44134</v>
      </c>
      <c r="H200" s="862"/>
      <c r="I200" s="74">
        <f>105.29/78.05</f>
        <v>1.3490070467648945</v>
      </c>
      <c r="J200" s="76" t="s">
        <v>877</v>
      </c>
      <c r="K200" s="212">
        <f>+E200/I200</f>
        <v>1096969.8071991641</v>
      </c>
      <c r="L200" s="850"/>
      <c r="M200" s="54"/>
    </row>
    <row r="201" spans="1:18" s="180" customFormat="1" ht="25.5" x14ac:dyDescent="0.25">
      <c r="A201" s="180" t="s">
        <v>328</v>
      </c>
      <c r="B201" s="356" t="s">
        <v>209</v>
      </c>
      <c r="C201" s="356"/>
      <c r="D201" s="356"/>
      <c r="E201" s="356"/>
      <c r="F201" s="356"/>
      <c r="G201" s="185"/>
      <c r="H201" s="356"/>
      <c r="I201" s="356"/>
      <c r="J201" s="356"/>
      <c r="K201" s="356"/>
      <c r="L201" s="356"/>
      <c r="M201" s="182"/>
      <c r="O201" s="181"/>
      <c r="P201" s="181"/>
      <c r="Q201" s="181"/>
      <c r="R201" s="181"/>
    </row>
    <row r="202" spans="1:18" s="180" customFormat="1" ht="15" x14ac:dyDescent="0.25">
      <c r="A202" s="184" t="s">
        <v>534</v>
      </c>
      <c r="B202" s="141" t="s">
        <v>130</v>
      </c>
      <c r="C202" s="142" t="s">
        <v>131</v>
      </c>
      <c r="D202" s="142" t="s">
        <v>132</v>
      </c>
      <c r="E202" s="842" t="s">
        <v>133</v>
      </c>
      <c r="F202" s="843"/>
      <c r="G202" s="842" t="s">
        <v>134</v>
      </c>
      <c r="H202" s="844"/>
      <c r="I202" s="844"/>
      <c r="J202" s="844"/>
      <c r="K202" s="843"/>
      <c r="L202" s="143" t="s">
        <v>97</v>
      </c>
      <c r="M202" s="143" t="s">
        <v>837</v>
      </c>
      <c r="O202" s="181"/>
      <c r="P202" s="181"/>
      <c r="Q202" s="181"/>
      <c r="R202" s="181"/>
    </row>
    <row r="203" spans="1:18" s="180" customFormat="1" ht="45" x14ac:dyDescent="0.25">
      <c r="A203" s="184" t="s">
        <v>534</v>
      </c>
      <c r="B203" s="141"/>
      <c r="C203" s="142"/>
      <c r="D203" s="142"/>
      <c r="E203" s="144" t="s">
        <v>135</v>
      </c>
      <c r="F203" s="144" t="s">
        <v>136</v>
      </c>
      <c r="G203" s="183" t="s">
        <v>619</v>
      </c>
      <c r="H203" s="144" t="s">
        <v>137</v>
      </c>
      <c r="I203" s="144" t="s">
        <v>138</v>
      </c>
      <c r="J203" s="144" t="s">
        <v>139</v>
      </c>
      <c r="K203" s="144" t="s">
        <v>140</v>
      </c>
      <c r="L203" s="143"/>
      <c r="M203" s="182"/>
      <c r="O203" s="181"/>
      <c r="P203" s="181"/>
      <c r="Q203" s="181"/>
      <c r="R203" s="181"/>
    </row>
    <row r="204" spans="1:18" ht="57.75" x14ac:dyDescent="0.25">
      <c r="A204" s="178" t="s">
        <v>534</v>
      </c>
      <c r="B204" s="355" t="s">
        <v>875</v>
      </c>
      <c r="C204" s="157" t="s">
        <v>328</v>
      </c>
      <c r="D204" s="55" t="s">
        <v>143</v>
      </c>
      <c r="E204" s="118">
        <v>310301163.36000001</v>
      </c>
      <c r="F204" s="4" t="s">
        <v>658</v>
      </c>
      <c r="G204" s="206">
        <v>42278</v>
      </c>
      <c r="H204" s="164">
        <v>252000000</v>
      </c>
      <c r="I204" s="39">
        <f>123.78/111.82</f>
        <v>1.1069576104453587</v>
      </c>
      <c r="J204" s="75" t="s">
        <v>152</v>
      </c>
      <c r="K204" s="212">
        <f>+E204/I204</f>
        <v>280318921.367872</v>
      </c>
      <c r="L204" s="173" t="s">
        <v>178</v>
      </c>
      <c r="M204" s="54"/>
      <c r="N204" s="1" t="s">
        <v>1010</v>
      </c>
    </row>
    <row r="205" spans="1:18" s="26" customFormat="1" ht="52.5" customHeight="1" x14ac:dyDescent="0.2">
      <c r="A205" s="230" t="s">
        <v>534</v>
      </c>
      <c r="B205" s="857" t="s">
        <v>874</v>
      </c>
      <c r="C205" s="157" t="s">
        <v>328</v>
      </c>
      <c r="D205" s="55" t="s">
        <v>143</v>
      </c>
      <c r="E205" s="140">
        <v>67589211</v>
      </c>
      <c r="F205" s="847" t="s">
        <v>210</v>
      </c>
      <c r="G205" s="179">
        <v>42374</v>
      </c>
      <c r="H205" s="861">
        <v>60000000</v>
      </c>
      <c r="I205" s="117">
        <f>126.15/111.82</f>
        <v>1.1281523877660526</v>
      </c>
      <c r="J205" s="229" t="s">
        <v>155</v>
      </c>
      <c r="K205" s="50">
        <f>+E205/I205</f>
        <v>59911419.532461353</v>
      </c>
      <c r="L205" s="173" t="s">
        <v>178</v>
      </c>
      <c r="M205" s="228"/>
      <c r="N205" s="1" t="s">
        <v>1010</v>
      </c>
      <c r="O205" s="227"/>
      <c r="P205" s="227"/>
      <c r="Q205" s="227"/>
      <c r="R205" s="227"/>
    </row>
    <row r="206" spans="1:18" s="26" customFormat="1" ht="44.25" customHeight="1" x14ac:dyDescent="0.2">
      <c r="A206" s="230" t="s">
        <v>534</v>
      </c>
      <c r="B206" s="858"/>
      <c r="C206" s="157" t="s">
        <v>328</v>
      </c>
      <c r="D206" s="55" t="s">
        <v>143</v>
      </c>
      <c r="E206" s="140">
        <v>1896513</v>
      </c>
      <c r="F206" s="848"/>
      <c r="G206" s="179">
        <v>42398</v>
      </c>
      <c r="H206" s="862"/>
      <c r="I206" s="117">
        <f>126.15/111.82</f>
        <v>1.1281523877660526</v>
      </c>
      <c r="J206" s="229" t="s">
        <v>155</v>
      </c>
      <c r="K206" s="50">
        <f>+E206/I206</f>
        <v>1681078.7448275862</v>
      </c>
      <c r="L206" s="173" t="s">
        <v>178</v>
      </c>
      <c r="M206" s="228"/>
      <c r="N206" s="1" t="s">
        <v>1010</v>
      </c>
      <c r="O206" s="227"/>
      <c r="P206" s="227"/>
      <c r="Q206" s="227"/>
      <c r="R206" s="227"/>
    </row>
    <row r="207" spans="1:18" ht="15" x14ac:dyDescent="0.25">
      <c r="A207" s="178" t="s">
        <v>534</v>
      </c>
      <c r="B207" s="355" t="s">
        <v>873</v>
      </c>
      <c r="C207" s="157" t="s">
        <v>328</v>
      </c>
      <c r="D207" s="55" t="s">
        <v>143</v>
      </c>
      <c r="E207" s="118">
        <v>71162374</v>
      </c>
      <c r="F207" s="4"/>
      <c r="G207" s="206">
        <v>42556</v>
      </c>
      <c r="H207" s="164">
        <v>60000000</v>
      </c>
      <c r="I207" s="74">
        <f>132.58/111.82</f>
        <v>1.1856555177964587</v>
      </c>
      <c r="J207" s="76" t="s">
        <v>161</v>
      </c>
      <c r="K207" s="212">
        <f>+E207/I207</f>
        <v>60019434.761502482</v>
      </c>
      <c r="L207" s="173" t="s">
        <v>178</v>
      </c>
      <c r="M207" s="54"/>
      <c r="N207" s="1" t="s">
        <v>1010</v>
      </c>
    </row>
    <row r="208" spans="1:18" ht="15" x14ac:dyDescent="0.25">
      <c r="A208" s="178" t="s">
        <v>534</v>
      </c>
      <c r="B208" s="355" t="s">
        <v>872</v>
      </c>
      <c r="C208" s="157" t="s">
        <v>328</v>
      </c>
      <c r="D208" s="55" t="s">
        <v>143</v>
      </c>
      <c r="E208" s="118">
        <v>71579324</v>
      </c>
      <c r="F208" s="4" t="s">
        <v>211</v>
      </c>
      <c r="G208" s="206">
        <v>42741</v>
      </c>
      <c r="H208" s="164">
        <v>60000000</v>
      </c>
      <c r="I208" s="74">
        <f>133.4/111.82</f>
        <v>1.1929887318905386</v>
      </c>
      <c r="J208" s="76" t="s">
        <v>166</v>
      </c>
      <c r="K208" s="212">
        <f>+E208/I208</f>
        <v>60000000.072563708</v>
      </c>
      <c r="L208" s="173" t="s">
        <v>178</v>
      </c>
      <c r="M208" s="54"/>
      <c r="N208" s="1" t="s">
        <v>1010</v>
      </c>
    </row>
    <row r="209" spans="1:18" ht="15" x14ac:dyDescent="0.25">
      <c r="A209" s="178" t="s">
        <v>534</v>
      </c>
      <c r="B209" s="355" t="s">
        <v>871</v>
      </c>
      <c r="C209" s="157" t="s">
        <v>328</v>
      </c>
      <c r="D209" s="55" t="s">
        <v>143</v>
      </c>
      <c r="E209" s="118">
        <v>300633160</v>
      </c>
      <c r="F209" s="4" t="s">
        <v>212</v>
      </c>
      <c r="G209" s="206">
        <v>42741</v>
      </c>
      <c r="H209" s="164">
        <v>252000000</v>
      </c>
      <c r="I209" s="74">
        <f>133.4/111.82</f>
        <v>1.1929887318905386</v>
      </c>
      <c r="J209" s="76" t="s">
        <v>166</v>
      </c>
      <c r="K209" s="212">
        <f>+E209/I209</f>
        <v>251999999.63418287</v>
      </c>
      <c r="L209" s="173" t="s">
        <v>178</v>
      </c>
      <c r="M209" s="54"/>
      <c r="N209" s="1" t="s">
        <v>1010</v>
      </c>
    </row>
    <row r="210" spans="1:18" ht="15" x14ac:dyDescent="0.25">
      <c r="A210" s="178" t="s">
        <v>534</v>
      </c>
      <c r="B210" s="355" t="s">
        <v>870</v>
      </c>
      <c r="C210" s="157" t="s">
        <v>328</v>
      </c>
      <c r="D210" s="55" t="s">
        <v>143</v>
      </c>
      <c r="E210" s="118">
        <v>73891969</v>
      </c>
      <c r="F210" s="4" t="s">
        <v>213</v>
      </c>
      <c r="G210" s="206">
        <v>42913</v>
      </c>
      <c r="H210" s="164">
        <v>60000000</v>
      </c>
      <c r="I210" s="74">
        <f>137.71/111.82</f>
        <v>1.2315328206045431</v>
      </c>
      <c r="J210" s="76" t="s">
        <v>214</v>
      </c>
      <c r="K210" s="212">
        <f>+E210/I210</f>
        <v>59999999.808147557</v>
      </c>
      <c r="L210" s="173" t="s">
        <v>178</v>
      </c>
      <c r="M210" s="54"/>
      <c r="N210" s="1" t="s">
        <v>1010</v>
      </c>
    </row>
    <row r="211" spans="1:18" ht="15" x14ac:dyDescent="0.25">
      <c r="A211" s="178" t="s">
        <v>534</v>
      </c>
      <c r="B211" s="355" t="s">
        <v>869</v>
      </c>
      <c r="C211" s="157" t="s">
        <v>328</v>
      </c>
      <c r="D211" s="55" t="s">
        <v>143</v>
      </c>
      <c r="E211" s="118">
        <v>74503666</v>
      </c>
      <c r="F211" s="4" t="s">
        <v>215</v>
      </c>
      <c r="G211" s="206">
        <v>43116</v>
      </c>
      <c r="H211" s="164">
        <v>60000000</v>
      </c>
      <c r="I211" s="74">
        <f>138.85/111.82</f>
        <v>1.2417277767841173</v>
      </c>
      <c r="J211" s="76" t="s">
        <v>216</v>
      </c>
      <c r="K211" s="212">
        <f>+E211/I211</f>
        <v>59999999.511127122</v>
      </c>
      <c r="L211" s="173" t="s">
        <v>659</v>
      </c>
      <c r="M211" s="54"/>
    </row>
    <row r="212" spans="1:18" ht="15" x14ac:dyDescent="0.25">
      <c r="A212" s="178" t="s">
        <v>534</v>
      </c>
      <c r="B212" s="355" t="s">
        <v>868</v>
      </c>
      <c r="C212" s="157" t="s">
        <v>328</v>
      </c>
      <c r="D212" s="55" t="s">
        <v>143</v>
      </c>
      <c r="E212" s="118">
        <f>387419066-74503667</f>
        <v>312915399</v>
      </c>
      <c r="F212" s="4" t="s">
        <v>217</v>
      </c>
      <c r="G212" s="206">
        <v>43116</v>
      </c>
      <c r="H212" s="164">
        <v>252000000</v>
      </c>
      <c r="I212" s="74">
        <f>138.85/111.82</f>
        <v>1.2417277767841173</v>
      </c>
      <c r="J212" s="76" t="s">
        <v>216</v>
      </c>
      <c r="K212" s="212">
        <f>+E212/I212</f>
        <v>251999999.39632699</v>
      </c>
      <c r="L212" s="173" t="s">
        <v>218</v>
      </c>
      <c r="M212" s="54" t="s">
        <v>1003</v>
      </c>
      <c r="N212" s="170" t="s">
        <v>1009</v>
      </c>
    </row>
    <row r="213" spans="1:18" ht="15" x14ac:dyDescent="0.25">
      <c r="A213" s="178" t="s">
        <v>534</v>
      </c>
      <c r="B213" s="355" t="s">
        <v>867</v>
      </c>
      <c r="C213" s="157" t="s">
        <v>328</v>
      </c>
      <c r="D213" s="55" t="s">
        <v>143</v>
      </c>
      <c r="E213" s="226">
        <v>76344124.489999995</v>
      </c>
      <c r="F213" s="4" t="s">
        <v>298</v>
      </c>
      <c r="G213" s="206">
        <v>43305</v>
      </c>
      <c r="H213" s="164">
        <v>60000000</v>
      </c>
      <c r="I213" s="74">
        <f>142.28/111.82</f>
        <v>1.272402074763012</v>
      </c>
      <c r="J213" s="76" t="s">
        <v>299</v>
      </c>
      <c r="K213" s="212">
        <f>+E213/I213</f>
        <v>60000000.003315993</v>
      </c>
      <c r="L213" s="173" t="s">
        <v>659</v>
      </c>
      <c r="M213" s="54" t="s">
        <v>977</v>
      </c>
      <c r="N213" s="170" t="s">
        <v>1008</v>
      </c>
    </row>
    <row r="214" spans="1:18" ht="15" x14ac:dyDescent="0.25">
      <c r="A214" s="178"/>
      <c r="B214" s="355" t="s">
        <v>866</v>
      </c>
      <c r="C214" s="157" t="s">
        <v>328</v>
      </c>
      <c r="D214" s="55" t="s">
        <v>143</v>
      </c>
      <c r="E214" s="226">
        <v>76644607.900017902</v>
      </c>
      <c r="F214" s="4" t="s">
        <v>660</v>
      </c>
      <c r="G214" s="206">
        <v>43445</v>
      </c>
      <c r="H214" s="164">
        <f>60000000</f>
        <v>60000000</v>
      </c>
      <c r="I214" s="74">
        <f>142.84/111.82</f>
        <v>1.2774101234126276</v>
      </c>
      <c r="J214" s="76" t="s">
        <v>329</v>
      </c>
      <c r="K214" s="212">
        <f>+E214/I214</f>
        <v>60000000.387706533</v>
      </c>
      <c r="L214" s="173" t="s">
        <v>178</v>
      </c>
      <c r="M214" s="851" t="s">
        <v>1007</v>
      </c>
    </row>
    <row r="215" spans="1:18" ht="15" x14ac:dyDescent="0.25">
      <c r="A215" s="178" t="s">
        <v>534</v>
      </c>
      <c r="B215" s="355" t="s">
        <v>865</v>
      </c>
      <c r="C215" s="157" t="s">
        <v>328</v>
      </c>
      <c r="D215" s="55" t="s">
        <v>143</v>
      </c>
      <c r="E215" s="226">
        <v>321907351.09998214</v>
      </c>
      <c r="F215" s="4" t="s">
        <v>660</v>
      </c>
      <c r="G215" s="206">
        <v>43445</v>
      </c>
      <c r="H215" s="164">
        <v>252000000</v>
      </c>
      <c r="I215" s="74">
        <f>142.84/111.82</f>
        <v>1.2774101234126276</v>
      </c>
      <c r="J215" s="76" t="s">
        <v>329</v>
      </c>
      <c r="K215" s="212">
        <f>+E215/I215</f>
        <v>252000000</v>
      </c>
      <c r="L215" s="173" t="s">
        <v>178</v>
      </c>
      <c r="M215" s="852"/>
    </row>
    <row r="216" spans="1:18" ht="15" x14ac:dyDescent="0.25">
      <c r="A216" s="178" t="s">
        <v>534</v>
      </c>
      <c r="B216" s="355" t="s">
        <v>864</v>
      </c>
      <c r="C216" s="157" t="s">
        <v>328</v>
      </c>
      <c r="D216" s="55" t="s">
        <v>143</v>
      </c>
      <c r="E216" s="226">
        <v>79133889</v>
      </c>
      <c r="F216" s="4" t="s">
        <v>661</v>
      </c>
      <c r="G216" s="206">
        <v>43686</v>
      </c>
      <c r="H216" s="164">
        <v>60000000</v>
      </c>
      <c r="I216" s="74">
        <f>102.71/78.05</f>
        <v>1.3159513132607303</v>
      </c>
      <c r="J216" s="76" t="s">
        <v>419</v>
      </c>
      <c r="K216" s="212">
        <f>+E216/I216</f>
        <v>60134359.2293837</v>
      </c>
      <c r="L216" s="173" t="s">
        <v>659</v>
      </c>
      <c r="M216" s="54" t="s">
        <v>1006</v>
      </c>
    </row>
    <row r="217" spans="1:18" ht="15" x14ac:dyDescent="0.25">
      <c r="A217" s="178" t="s">
        <v>534</v>
      </c>
      <c r="B217" s="355" t="s">
        <v>863</v>
      </c>
      <c r="C217" s="157" t="s">
        <v>328</v>
      </c>
      <c r="D217" s="55" t="s">
        <v>143</v>
      </c>
      <c r="E217" s="226">
        <v>333395516</v>
      </c>
      <c r="F217" s="4" t="s">
        <v>468</v>
      </c>
      <c r="G217" s="206">
        <v>43748</v>
      </c>
      <c r="H217" s="164">
        <v>252000000</v>
      </c>
      <c r="I217" s="74">
        <f>103.26/78.05</f>
        <v>1.322998078155029</v>
      </c>
      <c r="J217" s="76" t="s">
        <v>461</v>
      </c>
      <c r="K217" s="212">
        <f>+E217/I217</f>
        <v>252000000.23048612</v>
      </c>
      <c r="L217" s="173" t="s">
        <v>662</v>
      </c>
      <c r="M217" s="54" t="s">
        <v>1005</v>
      </c>
    </row>
    <row r="218" spans="1:18" ht="15" x14ac:dyDescent="0.25">
      <c r="A218" s="178" t="s">
        <v>534</v>
      </c>
      <c r="B218" s="355" t="s">
        <v>862</v>
      </c>
      <c r="C218" s="157" t="s">
        <v>328</v>
      </c>
      <c r="D218" s="55" t="s">
        <v>143</v>
      </c>
      <c r="E218" s="226">
        <v>79795004</v>
      </c>
      <c r="F218" s="4" t="s">
        <v>663</v>
      </c>
      <c r="G218" s="206">
        <v>43844</v>
      </c>
      <c r="H218" s="164">
        <v>60000000</v>
      </c>
      <c r="I218" s="74">
        <f>103.8/78.05</f>
        <v>1.3299167200512492</v>
      </c>
      <c r="J218" s="76" t="s">
        <v>472</v>
      </c>
      <c r="K218" s="212">
        <f>+E218/I218</f>
        <v>60000000.599229291</v>
      </c>
      <c r="L218" s="173" t="s">
        <v>659</v>
      </c>
      <c r="M218" s="54" t="s">
        <v>993</v>
      </c>
    </row>
    <row r="219" spans="1:18" s="2" customFormat="1" ht="15" x14ac:dyDescent="0.25">
      <c r="A219" s="178" t="s">
        <v>534</v>
      </c>
      <c r="B219" s="355" t="s">
        <v>861</v>
      </c>
      <c r="C219" s="224" t="s">
        <v>328</v>
      </c>
      <c r="D219" s="55" t="s">
        <v>143</v>
      </c>
      <c r="E219" s="221">
        <v>80694426.650000006</v>
      </c>
      <c r="F219" s="225" t="s">
        <v>664</v>
      </c>
      <c r="G219" s="223">
        <v>44026</v>
      </c>
      <c r="H219" s="220">
        <v>60000000</v>
      </c>
      <c r="I219" s="222">
        <f>104.97/78.05</f>
        <v>1.3449071108263935</v>
      </c>
      <c r="J219" s="76" t="s">
        <v>651</v>
      </c>
      <c r="K219" s="212">
        <f>+E219/I219</f>
        <v>60000000.000309609</v>
      </c>
      <c r="L219" s="173" t="s">
        <v>178</v>
      </c>
      <c r="M219" s="54" t="s">
        <v>1004</v>
      </c>
      <c r="O219" s="22"/>
      <c r="P219" s="22"/>
      <c r="Q219" s="22"/>
      <c r="R219" s="22"/>
    </row>
    <row r="220" spans="1:18" ht="15" x14ac:dyDescent="0.25">
      <c r="A220" s="178" t="s">
        <v>534</v>
      </c>
      <c r="B220" s="857" t="s">
        <v>860</v>
      </c>
      <c r="C220" s="224" t="s">
        <v>328</v>
      </c>
      <c r="D220" s="55" t="s">
        <v>143</v>
      </c>
      <c r="E220" s="221">
        <v>338884304.93000001</v>
      </c>
      <c r="F220" s="4" t="s">
        <v>859</v>
      </c>
      <c r="G220" s="223">
        <v>44118</v>
      </c>
      <c r="H220" s="863">
        <v>252000000</v>
      </c>
      <c r="I220" s="222">
        <f>105.29/78.05</f>
        <v>1.3490070467648945</v>
      </c>
      <c r="J220" s="76" t="s">
        <v>858</v>
      </c>
      <c r="K220" s="212">
        <f>+E220/I220</f>
        <v>251210181.4017143</v>
      </c>
      <c r="L220" s="173" t="s">
        <v>857</v>
      </c>
      <c r="M220" s="54" t="s">
        <v>841</v>
      </c>
    </row>
    <row r="221" spans="1:18" ht="15" x14ac:dyDescent="0.25">
      <c r="A221" s="178" t="s">
        <v>534</v>
      </c>
      <c r="B221" s="858"/>
      <c r="C221" s="224" t="s">
        <v>328</v>
      </c>
      <c r="D221" s="55" t="s">
        <v>143</v>
      </c>
      <c r="E221" s="221">
        <v>1065471</v>
      </c>
      <c r="F221" s="4" t="s">
        <v>899</v>
      </c>
      <c r="G221" s="223">
        <v>44134</v>
      </c>
      <c r="H221" s="864"/>
      <c r="I221" s="222">
        <f>105.29/78.05</f>
        <v>1.3490070467648945</v>
      </c>
      <c r="J221" s="76" t="s">
        <v>858</v>
      </c>
      <c r="K221" s="212">
        <f>+E221/I221</f>
        <v>789818.70595498139</v>
      </c>
      <c r="L221" s="173" t="s">
        <v>178</v>
      </c>
      <c r="M221" s="54" t="s">
        <v>896</v>
      </c>
    </row>
    <row r="222" spans="1:18" s="180" customFormat="1" ht="45" x14ac:dyDescent="0.25">
      <c r="A222" s="180" t="s">
        <v>477</v>
      </c>
      <c r="B222" s="356" t="s">
        <v>219</v>
      </c>
      <c r="C222" s="356"/>
      <c r="D222" s="356"/>
      <c r="E222" s="356"/>
      <c r="F222" s="356"/>
      <c r="G222" s="185"/>
      <c r="H222" s="356"/>
      <c r="I222" s="356"/>
      <c r="J222" s="356"/>
      <c r="K222" s="356"/>
      <c r="L222" s="356"/>
      <c r="M222" s="182"/>
      <c r="O222" s="181"/>
      <c r="P222" s="181"/>
      <c r="Q222" s="181"/>
      <c r="R222" s="181"/>
    </row>
    <row r="223" spans="1:18" s="180" customFormat="1" ht="15" x14ac:dyDescent="0.25">
      <c r="A223" s="184" t="s">
        <v>534</v>
      </c>
      <c r="B223" s="141" t="s">
        <v>130</v>
      </c>
      <c r="C223" s="142" t="s">
        <v>131</v>
      </c>
      <c r="D223" s="142" t="s">
        <v>132</v>
      </c>
      <c r="E223" s="842" t="s">
        <v>133</v>
      </c>
      <c r="F223" s="843"/>
      <c r="G223" s="842" t="s">
        <v>134</v>
      </c>
      <c r="H223" s="844"/>
      <c r="I223" s="844"/>
      <c r="J223" s="844"/>
      <c r="K223" s="843"/>
      <c r="L223" s="143" t="s">
        <v>97</v>
      </c>
      <c r="M223" s="143" t="s">
        <v>837</v>
      </c>
      <c r="O223" s="181"/>
      <c r="P223" s="181"/>
      <c r="Q223" s="181"/>
      <c r="R223" s="181"/>
    </row>
    <row r="224" spans="1:18" s="180" customFormat="1" ht="45" x14ac:dyDescent="0.25">
      <c r="A224" s="184" t="s">
        <v>534</v>
      </c>
      <c r="B224" s="141"/>
      <c r="C224" s="142"/>
      <c r="D224" s="142"/>
      <c r="E224" s="144" t="s">
        <v>135</v>
      </c>
      <c r="F224" s="144" t="s">
        <v>136</v>
      </c>
      <c r="G224" s="183" t="s">
        <v>619</v>
      </c>
      <c r="H224" s="144" t="s">
        <v>137</v>
      </c>
      <c r="I224" s="144" t="s">
        <v>138</v>
      </c>
      <c r="J224" s="144" t="s">
        <v>139</v>
      </c>
      <c r="K224" s="144" t="s">
        <v>140</v>
      </c>
      <c r="L224" s="143"/>
      <c r="M224" s="182"/>
      <c r="O224" s="142" t="s">
        <v>856</v>
      </c>
      <c r="P224" s="142" t="str">
        <f>+H224</f>
        <v>Aporte establecido contractual</v>
      </c>
      <c r="Q224" s="142" t="str">
        <f>+E224</f>
        <v>Aporte consignado
pesos corrientes</v>
      </c>
      <c r="R224" s="142" t="str">
        <f>+K224</f>
        <v>Aportes efectuados en pesos del mes de referencia</v>
      </c>
    </row>
    <row r="225" spans="1:18" ht="15" x14ac:dyDescent="0.25">
      <c r="A225" s="178" t="s">
        <v>534</v>
      </c>
      <c r="B225" s="355" t="s">
        <v>141</v>
      </c>
      <c r="C225" s="157" t="s">
        <v>51</v>
      </c>
      <c r="D225" s="55" t="s">
        <v>143</v>
      </c>
      <c r="E225" s="118">
        <v>1137653386</v>
      </c>
      <c r="F225" s="4" t="s">
        <v>220</v>
      </c>
      <c r="G225" s="206">
        <v>42913</v>
      </c>
      <c r="H225" s="164">
        <v>923770253.59000003</v>
      </c>
      <c r="I225" s="39">
        <f>137.71/111.82</f>
        <v>1.2315328206045431</v>
      </c>
      <c r="J225" s="75" t="s">
        <v>185</v>
      </c>
      <c r="K225" s="212">
        <f>+E225/I225</f>
        <v>923770253.59465539</v>
      </c>
      <c r="L225" s="173" t="s">
        <v>178</v>
      </c>
      <c r="N225" s="217">
        <f>+H225-K225+M224</f>
        <v>-4.6553611755371094E-3</v>
      </c>
      <c r="P225" s="219"/>
      <c r="Q225" s="219"/>
      <c r="R225" s="219"/>
    </row>
    <row r="226" spans="1:18" ht="15" x14ac:dyDescent="0.25">
      <c r="A226" s="178" t="s">
        <v>534</v>
      </c>
      <c r="B226" s="355" t="s">
        <v>145</v>
      </c>
      <c r="C226" s="158" t="s">
        <v>51</v>
      </c>
      <c r="D226" s="55" t="s">
        <v>143</v>
      </c>
      <c r="E226" s="118">
        <v>1138975183</v>
      </c>
      <c r="F226" s="4" t="s">
        <v>221</v>
      </c>
      <c r="G226" s="206">
        <v>42942</v>
      </c>
      <c r="H226" s="164">
        <v>923770253.59000003</v>
      </c>
      <c r="I226" s="39">
        <f>137.87/111.82</f>
        <v>1.2329636916472904</v>
      </c>
      <c r="J226" s="75" t="s">
        <v>187</v>
      </c>
      <c r="K226" s="212">
        <f>+E226/I226</f>
        <v>923770254.31972146</v>
      </c>
      <c r="L226" s="173" t="s">
        <v>178</v>
      </c>
      <c r="N226" s="217">
        <f>+H226-K226+N225</f>
        <v>-0.73437678813934326</v>
      </c>
      <c r="P226" s="218">
        <f>SUM(H225:H281)</f>
        <v>105573306536.93999</v>
      </c>
      <c r="Q226" s="218">
        <f>SUM(E225:E281)</f>
        <v>136391679922.97003</v>
      </c>
      <c r="R226" s="218">
        <f>SUM(K225:K281)</f>
        <v>105600349069.60957</v>
      </c>
    </row>
    <row r="227" spans="1:18" ht="15" x14ac:dyDescent="0.25">
      <c r="A227" s="178" t="s">
        <v>534</v>
      </c>
      <c r="B227" s="355" t="s">
        <v>146</v>
      </c>
      <c r="C227" s="158" t="s">
        <v>51</v>
      </c>
      <c r="D227" s="55" t="s">
        <v>143</v>
      </c>
      <c r="E227" s="118">
        <v>1139966530</v>
      </c>
      <c r="F227" s="4" t="s">
        <v>222</v>
      </c>
      <c r="G227" s="206">
        <v>42984</v>
      </c>
      <c r="H227" s="164">
        <v>923770253.59000003</v>
      </c>
      <c r="I227" s="39">
        <f>137.99/111.82</f>
        <v>1.2340368449293508</v>
      </c>
      <c r="J227" s="75" t="s">
        <v>223</v>
      </c>
      <c r="K227" s="212">
        <f>+E227/I227</f>
        <v>923770254.25465608</v>
      </c>
      <c r="L227" s="173" t="s">
        <v>178</v>
      </c>
      <c r="N227" s="217">
        <f>+H227-K227+N226</f>
        <v>-1.3990328311920166</v>
      </c>
    </row>
    <row r="228" spans="1:18" ht="15" x14ac:dyDescent="0.25">
      <c r="A228" s="178" t="s">
        <v>534</v>
      </c>
      <c r="B228" s="355" t="s">
        <v>147</v>
      </c>
      <c r="C228" s="158" t="s">
        <v>51</v>
      </c>
      <c r="D228" s="55" t="s">
        <v>143</v>
      </c>
      <c r="E228" s="118">
        <v>1140462203</v>
      </c>
      <c r="F228" s="4" t="s">
        <v>224</v>
      </c>
      <c r="G228" s="206">
        <v>43017</v>
      </c>
      <c r="H228" s="164">
        <v>923770253.59000003</v>
      </c>
      <c r="I228" s="39">
        <f>138.05/111.82</f>
        <v>1.2345734215703812</v>
      </c>
      <c r="J228" s="75" t="s">
        <v>225</v>
      </c>
      <c r="K228" s="212">
        <f>+E228/I228</f>
        <v>923770253.81716752</v>
      </c>
      <c r="L228" s="173" t="s">
        <v>178</v>
      </c>
      <c r="N228" s="217">
        <f>+H228-K228+N227</f>
        <v>-1.6262003183364868</v>
      </c>
    </row>
    <row r="229" spans="1:18" ht="15" x14ac:dyDescent="0.25">
      <c r="A229" s="178" t="s">
        <v>534</v>
      </c>
      <c r="B229" s="355" t="s">
        <v>148</v>
      </c>
      <c r="C229" s="158" t="s">
        <v>51</v>
      </c>
      <c r="D229" s="55" t="s">
        <v>143</v>
      </c>
      <c r="E229" s="118">
        <v>1140627428</v>
      </c>
      <c r="F229" s="4" t="s">
        <v>226</v>
      </c>
      <c r="G229" s="206">
        <v>43053</v>
      </c>
      <c r="H229" s="164">
        <v>923770253.59000003</v>
      </c>
      <c r="I229" s="39">
        <f>138.07/111.82</f>
        <v>1.2347522804507245</v>
      </c>
      <c r="J229" s="75" t="s">
        <v>227</v>
      </c>
      <c r="K229" s="212">
        <f>+E229/I229</f>
        <v>923770254.21134198</v>
      </c>
      <c r="L229" s="173" t="s">
        <v>178</v>
      </c>
      <c r="N229" s="217">
        <f>+H229-K229+N228</f>
        <v>-2.2475422620773315</v>
      </c>
      <c r="O229" s="853"/>
      <c r="P229" s="853"/>
      <c r="Q229" s="853"/>
    </row>
    <row r="230" spans="1:18" ht="15" x14ac:dyDescent="0.25">
      <c r="A230" s="178" t="s">
        <v>534</v>
      </c>
      <c r="B230" s="355" t="s">
        <v>149</v>
      </c>
      <c r="C230" s="158" t="s">
        <v>51</v>
      </c>
      <c r="D230" s="55" t="s">
        <v>143</v>
      </c>
      <c r="E230" s="118">
        <v>1142692734</v>
      </c>
      <c r="F230" s="4" t="s">
        <v>228</v>
      </c>
      <c r="G230" s="206">
        <v>43023</v>
      </c>
      <c r="H230" s="164">
        <v>923770253.59000003</v>
      </c>
      <c r="I230" s="39">
        <f>138.32/111.82</f>
        <v>1.2369880164550171</v>
      </c>
      <c r="J230" s="75" t="s">
        <v>229</v>
      </c>
      <c r="K230" s="212">
        <f>+E230/I230</f>
        <v>923770253.87420464</v>
      </c>
      <c r="L230" s="173" t="s">
        <v>178</v>
      </c>
      <c r="N230" s="217">
        <f>+H230-K230+N229</f>
        <v>-2.5317468643188477</v>
      </c>
    </row>
    <row r="231" spans="1:18" ht="15" x14ac:dyDescent="0.25">
      <c r="A231" s="178" t="s">
        <v>534</v>
      </c>
      <c r="B231" s="355" t="s">
        <v>150</v>
      </c>
      <c r="C231" s="158" t="s">
        <v>51</v>
      </c>
      <c r="D231" s="55" t="s">
        <v>143</v>
      </c>
      <c r="E231" s="118">
        <v>1147071184</v>
      </c>
      <c r="F231" s="4" t="s">
        <v>230</v>
      </c>
      <c r="G231" s="206">
        <v>43116</v>
      </c>
      <c r="H231" s="164">
        <v>923770253.59000003</v>
      </c>
      <c r="I231" s="39">
        <f>138.85/111.82</f>
        <v>1.2417277767841173</v>
      </c>
      <c r="J231" s="75" t="s">
        <v>231</v>
      </c>
      <c r="K231" s="212">
        <f>+E231/I231</f>
        <v>923770254.19431043</v>
      </c>
      <c r="L231" s="173" t="s">
        <v>178</v>
      </c>
      <c r="M231" s="1" t="s">
        <v>1003</v>
      </c>
      <c r="N231" s="217">
        <f>+H231-K231+N230</f>
        <v>-3.1360572576522827</v>
      </c>
    </row>
    <row r="232" spans="1:18" ht="15" x14ac:dyDescent="0.25">
      <c r="A232" s="178" t="s">
        <v>534</v>
      </c>
      <c r="B232" s="355" t="s">
        <v>151</v>
      </c>
      <c r="C232" s="158" t="s">
        <v>51</v>
      </c>
      <c r="D232" s="55" t="s">
        <v>143</v>
      </c>
      <c r="E232" s="118">
        <v>1154258450</v>
      </c>
      <c r="F232" s="4" t="s">
        <v>232</v>
      </c>
      <c r="G232" s="206">
        <v>43150</v>
      </c>
      <c r="H232" s="164">
        <v>923770253.59000003</v>
      </c>
      <c r="I232" s="39">
        <f>139.72/111.82</f>
        <v>1.2495081380790556</v>
      </c>
      <c r="J232" s="75" t="s">
        <v>233</v>
      </c>
      <c r="K232" s="212">
        <f>+E232/I232</f>
        <v>923770253.9292872</v>
      </c>
      <c r="L232" s="173" t="s">
        <v>178</v>
      </c>
      <c r="M232" s="1" t="s">
        <v>983</v>
      </c>
      <c r="N232" s="217">
        <f>+H232-K232+N231</f>
        <v>-3.4753444194793701</v>
      </c>
    </row>
    <row r="233" spans="1:18" ht="15" x14ac:dyDescent="0.25">
      <c r="A233" s="178" t="s">
        <v>534</v>
      </c>
      <c r="B233" s="355" t="s">
        <v>179</v>
      </c>
      <c r="C233" s="158" t="s">
        <v>51</v>
      </c>
      <c r="D233" s="55" t="s">
        <v>143</v>
      </c>
      <c r="E233" s="118">
        <v>1162437063</v>
      </c>
      <c r="F233" s="4" t="s">
        <v>234</v>
      </c>
      <c r="G233" s="206">
        <v>43171</v>
      </c>
      <c r="H233" s="164">
        <v>923770253.59000003</v>
      </c>
      <c r="I233" s="39">
        <f>140.71/111.82</f>
        <v>1.2583616526560546</v>
      </c>
      <c r="J233" s="75" t="s">
        <v>235</v>
      </c>
      <c r="K233" s="212">
        <f>+E233/I233</f>
        <v>923770253.60429239</v>
      </c>
      <c r="L233" s="173" t="s">
        <v>178</v>
      </c>
      <c r="M233" s="1" t="s">
        <v>1002</v>
      </c>
      <c r="N233" s="217">
        <f>+H233-K233+N232</f>
        <v>-3.4896367788314819</v>
      </c>
    </row>
    <row r="234" spans="1:18" ht="15" x14ac:dyDescent="0.25">
      <c r="A234" s="178" t="s">
        <v>534</v>
      </c>
      <c r="B234" s="355" t="s">
        <v>180</v>
      </c>
      <c r="C234" s="158" t="s">
        <v>51</v>
      </c>
      <c r="D234" s="55" t="s">
        <v>143</v>
      </c>
      <c r="E234" s="118">
        <v>1165245880</v>
      </c>
      <c r="F234" s="4" t="s">
        <v>236</v>
      </c>
      <c r="G234" s="206">
        <v>43209</v>
      </c>
      <c r="H234" s="164">
        <v>923770253.59000003</v>
      </c>
      <c r="I234" s="77">
        <f>141.05/111.82</f>
        <v>1.2614022536218925</v>
      </c>
      <c r="J234" s="75" t="s">
        <v>237</v>
      </c>
      <c r="K234" s="212">
        <f>+E234/I234</f>
        <v>923770253.82204878</v>
      </c>
      <c r="L234" s="173" t="s">
        <v>178</v>
      </c>
      <c r="M234" s="1" t="s">
        <v>1001</v>
      </c>
      <c r="N234" s="217">
        <f>+H234-K234+N233</f>
        <v>-3.721685528755188</v>
      </c>
    </row>
    <row r="235" spans="1:18" ht="15" x14ac:dyDescent="0.25">
      <c r="A235" s="178" t="s">
        <v>534</v>
      </c>
      <c r="B235" s="355" t="s">
        <v>181</v>
      </c>
      <c r="C235" s="158" t="s">
        <v>51</v>
      </c>
      <c r="D235" s="55" t="s">
        <v>143</v>
      </c>
      <c r="E235" s="118">
        <v>1170615677</v>
      </c>
      <c r="F235" s="4" t="s">
        <v>293</v>
      </c>
      <c r="G235" s="206">
        <v>43237</v>
      </c>
      <c r="H235" s="164">
        <v>923770253.59000003</v>
      </c>
      <c r="I235" s="77">
        <f>141.7/111.82</f>
        <v>1.2672151672330532</v>
      </c>
      <c r="J235" s="75" t="s">
        <v>200</v>
      </c>
      <c r="K235" s="212">
        <f>+E235/I235</f>
        <v>923770254.07297099</v>
      </c>
      <c r="L235" s="173" t="s">
        <v>178</v>
      </c>
      <c r="M235" s="1" t="s">
        <v>979</v>
      </c>
      <c r="N235" s="217">
        <f>+H235-K235+N234</f>
        <v>-4.2046564817428589</v>
      </c>
    </row>
    <row r="236" spans="1:18" ht="15" x14ac:dyDescent="0.25">
      <c r="A236" s="178" t="s">
        <v>534</v>
      </c>
      <c r="B236" s="355" t="s">
        <v>182</v>
      </c>
      <c r="C236" s="158" t="s">
        <v>51</v>
      </c>
      <c r="D236" s="55" t="s">
        <v>143</v>
      </c>
      <c r="E236" s="118">
        <v>1173589718</v>
      </c>
      <c r="F236" s="4" t="s">
        <v>294</v>
      </c>
      <c r="G236" s="206">
        <v>43279</v>
      </c>
      <c r="H236" s="164">
        <v>923770253.59000003</v>
      </c>
      <c r="I236" s="77">
        <f>142.06/111.82</f>
        <v>1.2704346270792346</v>
      </c>
      <c r="J236" s="75" t="s">
        <v>295</v>
      </c>
      <c r="K236" s="212">
        <f>+E236/I236</f>
        <v>923770253.88399255</v>
      </c>
      <c r="L236" s="173" t="s">
        <v>178</v>
      </c>
      <c r="M236" s="1" t="s">
        <v>1000</v>
      </c>
      <c r="N236" s="217">
        <f>+H236-K236+N235</f>
        <v>-4.498649001121521</v>
      </c>
    </row>
    <row r="237" spans="1:18" ht="15" x14ac:dyDescent="0.25">
      <c r="A237" s="178" t="s">
        <v>534</v>
      </c>
      <c r="B237" s="355" t="s">
        <v>183</v>
      </c>
      <c r="C237" s="158" t="s">
        <v>51</v>
      </c>
      <c r="D237" s="55" t="s">
        <v>143</v>
      </c>
      <c r="E237" s="118">
        <v>1175407188</v>
      </c>
      <c r="F237" s="4" t="s">
        <v>300</v>
      </c>
      <c r="G237" s="206">
        <v>43305</v>
      </c>
      <c r="H237" s="164">
        <v>923770253.59000003</v>
      </c>
      <c r="I237" s="77">
        <f>142.28/111.82</f>
        <v>1.272402074763012</v>
      </c>
      <c r="J237" s="75" t="s">
        <v>301</v>
      </c>
      <c r="K237" s="212">
        <f>+E237/I237</f>
        <v>923770254.16193414</v>
      </c>
      <c r="L237" s="173" t="s">
        <v>178</v>
      </c>
      <c r="M237" s="1" t="s">
        <v>977</v>
      </c>
      <c r="N237" s="217">
        <f>+H237-K237+N236</f>
        <v>-5.0705831050872803</v>
      </c>
    </row>
    <row r="238" spans="1:18" ht="15" x14ac:dyDescent="0.25">
      <c r="A238" s="178" t="s">
        <v>534</v>
      </c>
      <c r="B238" s="355" t="s">
        <v>184</v>
      </c>
      <c r="C238" s="158" t="s">
        <v>51</v>
      </c>
      <c r="D238" s="55" t="s">
        <v>143</v>
      </c>
      <c r="E238" s="118">
        <v>1173920167</v>
      </c>
      <c r="F238" s="4" t="s">
        <v>303</v>
      </c>
      <c r="G238" s="206">
        <v>43333</v>
      </c>
      <c r="H238" s="164">
        <v>923770253.59000003</v>
      </c>
      <c r="I238" s="77">
        <f>142.1/111.82</f>
        <v>1.2707923448399214</v>
      </c>
      <c r="J238" s="75" t="s">
        <v>304</v>
      </c>
      <c r="K238" s="212">
        <f>+E238/I238</f>
        <v>923770253.86305404</v>
      </c>
      <c r="L238" s="173" t="s">
        <v>178</v>
      </c>
      <c r="M238" s="1" t="s">
        <v>999</v>
      </c>
      <c r="N238" s="217">
        <f>+H238-K238+N237</f>
        <v>-5.3436371088027954</v>
      </c>
    </row>
    <row r="239" spans="1:18" ht="28.5" x14ac:dyDescent="0.25">
      <c r="A239" s="178" t="s">
        <v>534</v>
      </c>
      <c r="B239" s="355" t="s">
        <v>186</v>
      </c>
      <c r="C239" s="158" t="s">
        <v>51</v>
      </c>
      <c r="D239" s="55" t="s">
        <v>143</v>
      </c>
      <c r="E239" s="118">
        <v>1177224657</v>
      </c>
      <c r="F239" s="4" t="s">
        <v>314</v>
      </c>
      <c r="G239" s="206">
        <v>43384</v>
      </c>
      <c r="H239" s="164">
        <v>923770253.59000003</v>
      </c>
      <c r="I239" s="77">
        <f>142.5/111.82</f>
        <v>1.2743695224467895</v>
      </c>
      <c r="J239" s="75" t="s">
        <v>317</v>
      </c>
      <c r="K239" s="212">
        <f>+E239/I239</f>
        <v>923770253.65431583</v>
      </c>
      <c r="L239" s="173" t="s">
        <v>665</v>
      </c>
      <c r="M239" s="1" t="s">
        <v>974</v>
      </c>
      <c r="N239" s="217">
        <f>+H239-K239+N238</f>
        <v>-5.4079529047012329</v>
      </c>
    </row>
    <row r="240" spans="1:18" ht="15" x14ac:dyDescent="0.25">
      <c r="A240" s="178" t="s">
        <v>534</v>
      </c>
      <c r="B240" s="355" t="s">
        <v>188</v>
      </c>
      <c r="C240" s="158" t="s">
        <v>51</v>
      </c>
      <c r="D240" s="55" t="s">
        <v>143</v>
      </c>
      <c r="E240" s="118">
        <v>1177224657</v>
      </c>
      <c r="F240" s="4" t="s">
        <v>318</v>
      </c>
      <c r="G240" s="206">
        <v>43384</v>
      </c>
      <c r="H240" s="164">
        <v>923770253.59000003</v>
      </c>
      <c r="I240" s="77">
        <f>142.5/111.82</f>
        <v>1.2743695224467895</v>
      </c>
      <c r="J240" s="75" t="s">
        <v>319</v>
      </c>
      <c r="K240" s="212">
        <f>+E240/I240</f>
        <v>923770253.65431583</v>
      </c>
      <c r="L240" s="173" t="s">
        <v>178</v>
      </c>
      <c r="M240" s="1" t="s">
        <v>974</v>
      </c>
      <c r="N240" s="217">
        <f>+H240-K240+N239</f>
        <v>-5.4722687005996704</v>
      </c>
    </row>
    <row r="241" spans="1:14" ht="15" x14ac:dyDescent="0.25">
      <c r="A241" s="178" t="s">
        <v>534</v>
      </c>
      <c r="B241" s="355" t="s">
        <v>190</v>
      </c>
      <c r="C241" s="158" t="s">
        <v>51</v>
      </c>
      <c r="D241" s="55" t="s">
        <v>143</v>
      </c>
      <c r="E241" s="118">
        <v>1178629066</v>
      </c>
      <c r="F241" s="4" t="s">
        <v>322</v>
      </c>
      <c r="G241" s="206">
        <v>43431</v>
      </c>
      <c r="H241" s="164">
        <v>923770253.59000003</v>
      </c>
      <c r="I241" s="77">
        <f>142.67/111.82</f>
        <v>1.2758898229297084</v>
      </c>
      <c r="J241" s="75" t="s">
        <v>319</v>
      </c>
      <c r="K241" s="212">
        <f>+E241/I241</f>
        <v>923770254.15378153</v>
      </c>
      <c r="L241" s="173" t="s">
        <v>178</v>
      </c>
      <c r="M241" s="1" t="s">
        <v>972</v>
      </c>
      <c r="N241" s="217">
        <f>+H241-K241+N240</f>
        <v>-6.0360502004623413</v>
      </c>
    </row>
    <row r="242" spans="1:14" ht="15" x14ac:dyDescent="0.25">
      <c r="A242" s="178" t="s">
        <v>534</v>
      </c>
      <c r="B242" s="355" t="s">
        <v>192</v>
      </c>
      <c r="C242" s="158" t="s">
        <v>51</v>
      </c>
      <c r="D242" s="55" t="s">
        <v>143</v>
      </c>
      <c r="E242" s="118">
        <v>1180033474</v>
      </c>
      <c r="F242" s="4" t="s">
        <v>330</v>
      </c>
      <c r="G242" s="206">
        <v>43445</v>
      </c>
      <c r="H242" s="164">
        <v>923770253.59000003</v>
      </c>
      <c r="I242" s="77">
        <f>142.84/111.82</f>
        <v>1.2774101234126276</v>
      </c>
      <c r="J242" s="75" t="s">
        <v>329</v>
      </c>
      <c r="K242" s="212">
        <f>+E242/I242</f>
        <v>923770253.86922419</v>
      </c>
      <c r="L242" s="173" t="s">
        <v>178</v>
      </c>
      <c r="M242" s="1" t="s">
        <v>998</v>
      </c>
      <c r="N242" s="217">
        <f>+H242-K242+N241</f>
        <v>-6.3152743577957153</v>
      </c>
    </row>
    <row r="243" spans="1:14" ht="15" x14ac:dyDescent="0.25">
      <c r="A243" s="178" t="s">
        <v>534</v>
      </c>
      <c r="B243" s="355" t="s">
        <v>246</v>
      </c>
      <c r="C243" s="158" t="s">
        <v>51</v>
      </c>
      <c r="D243" s="55" t="s">
        <v>143</v>
      </c>
      <c r="E243" s="118">
        <v>1180033474</v>
      </c>
      <c r="F243" s="4" t="s">
        <v>331</v>
      </c>
      <c r="G243" s="206">
        <v>43445</v>
      </c>
      <c r="H243" s="164">
        <v>923770253.59000003</v>
      </c>
      <c r="I243" s="77">
        <f>142.84/111.82</f>
        <v>1.2774101234126276</v>
      </c>
      <c r="J243" s="75" t="s">
        <v>329</v>
      </c>
      <c r="K243" s="212">
        <f>+E243/I243</f>
        <v>923770253.86922419</v>
      </c>
      <c r="L243" s="173" t="s">
        <v>178</v>
      </c>
      <c r="M243" s="1" t="s">
        <v>998</v>
      </c>
      <c r="N243" s="217">
        <f>+H243-K243+N242</f>
        <v>-6.5944985151290894</v>
      </c>
    </row>
    <row r="244" spans="1:14" ht="15" x14ac:dyDescent="0.25">
      <c r="A244" s="178" t="s">
        <v>534</v>
      </c>
      <c r="B244" s="355" t="s">
        <v>247</v>
      </c>
      <c r="C244" s="158" t="s">
        <v>51</v>
      </c>
      <c r="D244" s="55" t="s">
        <v>143</v>
      </c>
      <c r="E244" s="118">
        <v>1190690455</v>
      </c>
      <c r="F244" s="4" t="s">
        <v>339</v>
      </c>
      <c r="G244" s="206">
        <v>43515</v>
      </c>
      <c r="H244" s="164">
        <v>923770253.59000003</v>
      </c>
      <c r="I244" s="77">
        <f>100.6/78.05</f>
        <v>1.2889173606662396</v>
      </c>
      <c r="J244" s="75" t="s">
        <v>340</v>
      </c>
      <c r="K244" s="212">
        <f>+E244/I244</f>
        <v>923791153.20825052</v>
      </c>
      <c r="L244" s="173" t="s">
        <v>178</v>
      </c>
      <c r="M244" s="1" t="s">
        <v>997</v>
      </c>
      <c r="N244" s="217">
        <f>+H244-K244+N243</f>
        <v>-20906.212749004364</v>
      </c>
    </row>
    <row r="245" spans="1:14" ht="15" x14ac:dyDescent="0.25">
      <c r="A245" s="178" t="s">
        <v>534</v>
      </c>
      <c r="B245" s="355" t="s">
        <v>248</v>
      </c>
      <c r="C245" s="158" t="s">
        <v>51</v>
      </c>
      <c r="D245" s="55" t="s">
        <v>143</v>
      </c>
      <c r="E245" s="118">
        <v>1197547273</v>
      </c>
      <c r="F245" s="4" t="s">
        <v>344</v>
      </c>
      <c r="G245" s="206">
        <v>43544</v>
      </c>
      <c r="H245" s="164">
        <v>923770253.59000003</v>
      </c>
      <c r="I245" s="77">
        <f>101.18/78.05</f>
        <v>1.2963484945547727</v>
      </c>
      <c r="J245" s="75" t="s">
        <v>345</v>
      </c>
      <c r="K245" s="212">
        <f>+E245/I245</f>
        <v>923784983.76803708</v>
      </c>
      <c r="L245" s="173" t="s">
        <v>178</v>
      </c>
      <c r="M245" s="1" t="s">
        <v>996</v>
      </c>
      <c r="N245" s="217">
        <f>+H245-K245+N244</f>
        <v>-35636.39078605175</v>
      </c>
    </row>
    <row r="246" spans="1:14" ht="15" x14ac:dyDescent="0.25">
      <c r="A246" s="178" t="s">
        <v>534</v>
      </c>
      <c r="B246" s="355" t="s">
        <v>249</v>
      </c>
      <c r="C246" s="158" t="s">
        <v>51</v>
      </c>
      <c r="D246" s="55" t="s">
        <v>143</v>
      </c>
      <c r="E246" s="118">
        <v>1202759891</v>
      </c>
      <c r="F246" s="4" t="s">
        <v>400</v>
      </c>
      <c r="G246" s="206">
        <v>43580</v>
      </c>
      <c r="H246" s="164">
        <v>923770253.59000003</v>
      </c>
      <c r="I246" s="77">
        <f>101.62/78.05</f>
        <v>1.3019859064702115</v>
      </c>
      <c r="J246" s="75" t="s">
        <v>347</v>
      </c>
      <c r="K246" s="212">
        <f>+E246/I246</f>
        <v>923788717.6987797</v>
      </c>
      <c r="L246" s="173" t="s">
        <v>178</v>
      </c>
      <c r="N246" s="217">
        <f>+H246-K246+N245</f>
        <v>-54100.499565720558</v>
      </c>
    </row>
    <row r="247" spans="1:14" ht="42.75" x14ac:dyDescent="0.25">
      <c r="A247" s="178" t="s">
        <v>534</v>
      </c>
      <c r="B247" s="355" t="s">
        <v>250</v>
      </c>
      <c r="C247" s="158" t="s">
        <v>51</v>
      </c>
      <c r="D247" s="55" t="s">
        <v>143</v>
      </c>
      <c r="E247" s="118">
        <v>1208653662.2483025</v>
      </c>
      <c r="F247" s="205" t="s">
        <v>420</v>
      </c>
      <c r="G247" s="179">
        <v>43612</v>
      </c>
      <c r="H247" s="164">
        <v>923770254</v>
      </c>
      <c r="I247" s="77">
        <f>102.12/78.05</f>
        <v>1.3083920563741192</v>
      </c>
      <c r="J247" s="75" t="s">
        <v>401</v>
      </c>
      <c r="K247" s="212">
        <f>+E247/I247</f>
        <v>923770254.00000012</v>
      </c>
      <c r="L247" s="173" t="s">
        <v>456</v>
      </c>
      <c r="M247" s="1" t="s">
        <v>995</v>
      </c>
      <c r="N247" s="217">
        <f>+H247-K247+N246</f>
        <v>-54100.499565839767</v>
      </c>
    </row>
    <row r="248" spans="1:14" ht="15" x14ac:dyDescent="0.25">
      <c r="A248" s="178" t="s">
        <v>534</v>
      </c>
      <c r="B248" s="355" t="s">
        <v>666</v>
      </c>
      <c r="C248" s="158" t="s">
        <v>51</v>
      </c>
      <c r="D248" s="55" t="s">
        <v>143</v>
      </c>
      <c r="E248" s="118">
        <v>1208653662.2483025</v>
      </c>
      <c r="F248" s="205"/>
      <c r="G248" s="179">
        <v>43612</v>
      </c>
      <c r="H248" s="164">
        <v>923770254</v>
      </c>
      <c r="I248" s="77">
        <f>102.12/78.05</f>
        <v>1.3083920563741192</v>
      </c>
      <c r="J248" s="75" t="s">
        <v>401</v>
      </c>
      <c r="K248" s="212">
        <f>+E248/I248</f>
        <v>923770254.00000012</v>
      </c>
      <c r="L248" s="173"/>
      <c r="M248" s="1" t="s">
        <v>995</v>
      </c>
      <c r="N248" s="217">
        <f>+H248-K248+N247</f>
        <v>-54100.499565958977</v>
      </c>
    </row>
    <row r="249" spans="1:14" ht="15" x14ac:dyDescent="0.25">
      <c r="A249" s="178" t="s">
        <v>534</v>
      </c>
      <c r="B249" s="355" t="s">
        <v>667</v>
      </c>
      <c r="C249" s="158" t="s">
        <v>51</v>
      </c>
      <c r="D249" s="55" t="s">
        <v>143</v>
      </c>
      <c r="E249" s="118">
        <v>1104224629.5033953</v>
      </c>
      <c r="F249" s="205"/>
      <c r="G249" s="179">
        <v>43612</v>
      </c>
      <c r="H249" s="164">
        <v>852687174</v>
      </c>
      <c r="I249" s="77">
        <f>102.12/78.05</f>
        <v>1.3083920563741192</v>
      </c>
      <c r="J249" s="75" t="s">
        <v>401</v>
      </c>
      <c r="K249" s="212">
        <f>+E249/I249</f>
        <v>843955467.41813552</v>
      </c>
      <c r="L249" s="173"/>
      <c r="M249" s="1" t="s">
        <v>995</v>
      </c>
      <c r="N249" s="217">
        <f>+H249-K249+N248</f>
        <v>8677606.0822985172</v>
      </c>
    </row>
    <row r="250" spans="1:14" ht="28.5" x14ac:dyDescent="0.25">
      <c r="A250" s="178" t="s">
        <v>534</v>
      </c>
      <c r="B250" s="355" t="s">
        <v>668</v>
      </c>
      <c r="C250" s="158" t="s">
        <v>51</v>
      </c>
      <c r="D250" s="55" t="s">
        <v>143</v>
      </c>
      <c r="E250" s="118">
        <v>11552029.939495197</v>
      </c>
      <c r="F250" s="4" t="s">
        <v>669</v>
      </c>
      <c r="G250" s="206">
        <v>43748</v>
      </c>
      <c r="H250" s="164"/>
      <c r="I250" s="77">
        <f>103.26/78.05</f>
        <v>1.322998078155029</v>
      </c>
      <c r="J250" s="75" t="s">
        <v>461</v>
      </c>
      <c r="K250" s="212">
        <f>+E250/I250</f>
        <v>8731705.7599999998</v>
      </c>
      <c r="L250" s="173" t="s">
        <v>670</v>
      </c>
      <c r="M250" s="1" t="s">
        <v>994</v>
      </c>
      <c r="N250" s="217">
        <f>+H250-K250+N249</f>
        <v>-54099.677701482549</v>
      </c>
    </row>
    <row r="251" spans="1:14" ht="42.75" x14ac:dyDescent="0.25">
      <c r="A251" s="178" t="s">
        <v>534</v>
      </c>
      <c r="B251" s="355" t="s">
        <v>427</v>
      </c>
      <c r="C251" s="158" t="s">
        <v>51</v>
      </c>
      <c r="D251" s="55" t="s">
        <v>143</v>
      </c>
      <c r="E251" s="118">
        <v>1128103492.4694428</v>
      </c>
      <c r="F251" s="4" t="s">
        <v>428</v>
      </c>
      <c r="G251" s="206">
        <v>43748</v>
      </c>
      <c r="H251" s="164">
        <v>852687174</v>
      </c>
      <c r="I251" s="77">
        <f>103.26/78.05</f>
        <v>1.322998078155029</v>
      </c>
      <c r="J251" s="75" t="s">
        <v>461</v>
      </c>
      <c r="K251" s="212">
        <f>+E251/I251</f>
        <v>852687174</v>
      </c>
      <c r="L251" s="173" t="s">
        <v>462</v>
      </c>
      <c r="M251" s="1" t="s">
        <v>994</v>
      </c>
      <c r="N251" s="217">
        <f>+H251-K251+N250</f>
        <v>-54099.677701482549</v>
      </c>
    </row>
    <row r="252" spans="1:14" ht="15" x14ac:dyDescent="0.25">
      <c r="A252" s="178" t="s">
        <v>534</v>
      </c>
      <c r="B252" s="355" t="s">
        <v>457</v>
      </c>
      <c r="C252" s="158" t="s">
        <v>51</v>
      </c>
      <c r="D252" s="55" t="s">
        <v>143</v>
      </c>
      <c r="E252" s="118">
        <v>1128103492.4694428</v>
      </c>
      <c r="F252" s="4" t="s">
        <v>458</v>
      </c>
      <c r="G252" s="206">
        <v>43748</v>
      </c>
      <c r="H252" s="164">
        <v>852687174</v>
      </c>
      <c r="I252" s="77">
        <f>103.26/78.05</f>
        <v>1.322998078155029</v>
      </c>
      <c r="J252" s="75" t="s">
        <v>461</v>
      </c>
      <c r="K252" s="212">
        <f>+E252/I252</f>
        <v>852687174</v>
      </c>
      <c r="L252" s="173"/>
      <c r="M252" s="1" t="s">
        <v>994</v>
      </c>
      <c r="N252" s="217">
        <f>+H252-K252+N251</f>
        <v>-54099.677701482549</v>
      </c>
    </row>
    <row r="253" spans="1:14" ht="15" x14ac:dyDescent="0.25">
      <c r="A253" s="178" t="s">
        <v>534</v>
      </c>
      <c r="B253" s="355" t="s">
        <v>459</v>
      </c>
      <c r="C253" s="158" t="s">
        <v>51</v>
      </c>
      <c r="D253" s="55" t="s">
        <v>143</v>
      </c>
      <c r="E253" s="118">
        <v>1128103492.4694428</v>
      </c>
      <c r="F253" s="4" t="s">
        <v>460</v>
      </c>
      <c r="G253" s="206">
        <v>43748</v>
      </c>
      <c r="H253" s="164">
        <v>852687174</v>
      </c>
      <c r="I253" s="77">
        <f>103.26/78.05</f>
        <v>1.322998078155029</v>
      </c>
      <c r="J253" s="75" t="s">
        <v>461</v>
      </c>
      <c r="K253" s="212">
        <f>+E253/I253</f>
        <v>852687174</v>
      </c>
      <c r="L253" s="173"/>
      <c r="M253" s="1" t="s">
        <v>994</v>
      </c>
      <c r="N253" s="217">
        <f>+H253-K253+N252</f>
        <v>-54099.677701482549</v>
      </c>
    </row>
    <row r="254" spans="1:14" ht="15" x14ac:dyDescent="0.25">
      <c r="A254" s="178" t="s">
        <v>534</v>
      </c>
      <c r="B254" s="355" t="s">
        <v>463</v>
      </c>
      <c r="C254" s="158" t="s">
        <v>51</v>
      </c>
      <c r="D254" s="55" t="s">
        <v>143</v>
      </c>
      <c r="E254" s="118">
        <v>1128103492.4694428</v>
      </c>
      <c r="F254" s="4" t="s">
        <v>464</v>
      </c>
      <c r="G254" s="206">
        <v>43748</v>
      </c>
      <c r="H254" s="164">
        <v>852687174</v>
      </c>
      <c r="I254" s="77">
        <f>103.26/78.05</f>
        <v>1.322998078155029</v>
      </c>
      <c r="J254" s="75" t="s">
        <v>461</v>
      </c>
      <c r="K254" s="212">
        <f>+E254/I254</f>
        <v>852687174</v>
      </c>
      <c r="L254" s="173"/>
      <c r="M254" s="1" t="s">
        <v>994</v>
      </c>
      <c r="N254" s="217">
        <f>+H254-K254+N253</f>
        <v>-54099.677701482549</v>
      </c>
    </row>
    <row r="255" spans="1:14" ht="15" x14ac:dyDescent="0.25">
      <c r="A255" s="178" t="s">
        <v>534</v>
      </c>
      <c r="B255" s="355" t="s">
        <v>465</v>
      </c>
      <c r="C255" s="158" t="s">
        <v>51</v>
      </c>
      <c r="D255" s="55" t="s">
        <v>143</v>
      </c>
      <c r="E255" s="118">
        <v>1128103492.4694428</v>
      </c>
      <c r="F255" s="4" t="s">
        <v>466</v>
      </c>
      <c r="G255" s="206">
        <v>43748</v>
      </c>
      <c r="H255" s="164">
        <v>852687174</v>
      </c>
      <c r="I255" s="77">
        <f>103.26/78.05</f>
        <v>1.322998078155029</v>
      </c>
      <c r="J255" s="75" t="s">
        <v>461</v>
      </c>
      <c r="K255" s="212">
        <f>+E255/I255</f>
        <v>852687174</v>
      </c>
      <c r="L255" s="173"/>
      <c r="M255" s="1" t="s">
        <v>994</v>
      </c>
      <c r="N255" s="217">
        <f>+H255-K255+N254</f>
        <v>-54099.677701482549</v>
      </c>
    </row>
    <row r="256" spans="1:14" ht="15" x14ac:dyDescent="0.25">
      <c r="A256" s="178" t="s">
        <v>534</v>
      </c>
      <c r="B256" s="355" t="s">
        <v>671</v>
      </c>
      <c r="C256" s="158" t="s">
        <v>51</v>
      </c>
      <c r="D256" s="55" t="s">
        <v>143</v>
      </c>
      <c r="E256" s="118">
        <f>142220.912723917</f>
        <v>142220.91272391699</v>
      </c>
      <c r="F256" s="4"/>
      <c r="G256" s="206">
        <v>43748</v>
      </c>
      <c r="H256" s="164"/>
      <c r="I256" s="77">
        <f>103.26/78.05</f>
        <v>1.322998078155029</v>
      </c>
      <c r="J256" s="75" t="s">
        <v>461</v>
      </c>
      <c r="K256" s="212">
        <f>+E256/I256</f>
        <v>107498.95640230215</v>
      </c>
      <c r="L256" s="173"/>
      <c r="M256" s="1" t="s">
        <v>994</v>
      </c>
      <c r="N256" s="217">
        <f>+H256-K256+N255</f>
        <v>-161598.63410378469</v>
      </c>
    </row>
    <row r="257" spans="1:18" ht="15" x14ac:dyDescent="0.25">
      <c r="A257" s="178" t="s">
        <v>534</v>
      </c>
      <c r="B257" s="355" t="s">
        <v>672</v>
      </c>
      <c r="C257" s="158" t="s">
        <v>51</v>
      </c>
      <c r="D257" s="55" t="s">
        <v>143</v>
      </c>
      <c r="E257" s="118">
        <v>1134002930</v>
      </c>
      <c r="F257" s="4" t="s">
        <v>673</v>
      </c>
      <c r="G257" s="206">
        <v>43844</v>
      </c>
      <c r="H257" s="164">
        <v>852687174</v>
      </c>
      <c r="I257" s="77">
        <f>103.8/78.05</f>
        <v>1.3299167200512492</v>
      </c>
      <c r="J257" s="75" t="s">
        <v>472</v>
      </c>
      <c r="K257" s="212">
        <f>+E257/I257</f>
        <v>852687174.24373794</v>
      </c>
      <c r="L257" s="173" t="s">
        <v>674</v>
      </c>
      <c r="M257" s="1" t="s">
        <v>993</v>
      </c>
      <c r="N257" s="217">
        <f>+H257-K257+N256</f>
        <v>-161598.87784172071</v>
      </c>
    </row>
    <row r="258" spans="1:18" ht="28.5" x14ac:dyDescent="0.25">
      <c r="A258" s="178" t="s">
        <v>534</v>
      </c>
      <c r="B258" s="355" t="s">
        <v>675</v>
      </c>
      <c r="C258" s="158" t="s">
        <v>51</v>
      </c>
      <c r="D258" s="55" t="s">
        <v>143</v>
      </c>
      <c r="E258" s="118">
        <v>1139221904.97</v>
      </c>
      <c r="F258" s="4" t="s">
        <v>676</v>
      </c>
      <c r="G258" s="206">
        <v>43893</v>
      </c>
      <c r="H258" s="164">
        <v>852687174</v>
      </c>
      <c r="I258" s="77">
        <f>104.24/78.05</f>
        <v>1.3355541319666879</v>
      </c>
      <c r="J258" s="75" t="s">
        <v>677</v>
      </c>
      <c r="K258" s="212">
        <f>+E258/I258</f>
        <v>852995679.99720371</v>
      </c>
      <c r="L258" s="173" t="s">
        <v>678</v>
      </c>
      <c r="M258" s="1" t="s">
        <v>992</v>
      </c>
      <c r="N258" s="217">
        <f>+H258-K258+N257</f>
        <v>-470104.8750454284</v>
      </c>
    </row>
    <row r="259" spans="1:18" ht="15" x14ac:dyDescent="0.25">
      <c r="A259" s="178" t="s">
        <v>534</v>
      </c>
      <c r="B259" s="355" t="s">
        <v>679</v>
      </c>
      <c r="C259" s="158" t="s">
        <v>51</v>
      </c>
      <c r="D259" s="55" t="s">
        <v>143</v>
      </c>
      <c r="E259" s="118">
        <v>1146457297</v>
      </c>
      <c r="F259" s="4" t="s">
        <v>680</v>
      </c>
      <c r="G259" s="206">
        <v>43906</v>
      </c>
      <c r="H259" s="164">
        <v>852687174</v>
      </c>
      <c r="I259" s="77">
        <f>104.94/78.05</f>
        <v>1.3445227418321588</v>
      </c>
      <c r="J259" s="75" t="s">
        <v>681</v>
      </c>
      <c r="K259" s="212">
        <f>+E259/I259</f>
        <v>852687173.91700017</v>
      </c>
      <c r="L259" s="173" t="s">
        <v>682</v>
      </c>
      <c r="M259" s="1" t="s">
        <v>991</v>
      </c>
      <c r="N259" s="217">
        <f>+H259-K259+N258</f>
        <v>-470104.79204560292</v>
      </c>
    </row>
    <row r="260" spans="1:18" ht="15" x14ac:dyDescent="0.25">
      <c r="A260" s="178" t="s">
        <v>534</v>
      </c>
      <c r="B260" s="355" t="s">
        <v>683</v>
      </c>
      <c r="C260" s="158" t="s">
        <v>51</v>
      </c>
      <c r="D260" s="55" t="s">
        <v>143</v>
      </c>
      <c r="E260" s="118">
        <v>1159384899</v>
      </c>
      <c r="F260" s="4" t="s">
        <v>684</v>
      </c>
      <c r="G260" s="206">
        <v>43935</v>
      </c>
      <c r="H260" s="164">
        <v>852687174</v>
      </c>
      <c r="I260" s="77">
        <f>105.53/78.05</f>
        <v>1.35208199871877</v>
      </c>
      <c r="J260" s="75" t="s">
        <v>685</v>
      </c>
      <c r="K260" s="212">
        <f>+E260/I260</f>
        <v>857481203.13607502</v>
      </c>
      <c r="L260" s="173" t="s">
        <v>686</v>
      </c>
      <c r="M260" s="1" t="s">
        <v>990</v>
      </c>
      <c r="N260" s="217">
        <f>+H260-K260+N259</f>
        <v>-5264133.9281206224</v>
      </c>
    </row>
    <row r="261" spans="1:18" ht="15" x14ac:dyDescent="0.25">
      <c r="A261" s="178" t="s">
        <v>534</v>
      </c>
      <c r="B261" s="355" t="s">
        <v>687</v>
      </c>
      <c r="C261" s="158" t="s">
        <v>51</v>
      </c>
      <c r="D261" s="55" t="s">
        <v>143</v>
      </c>
      <c r="E261" s="118">
        <v>1154760208.74</v>
      </c>
      <c r="F261" s="4" t="s">
        <v>688</v>
      </c>
      <c r="G261" s="206">
        <v>43973</v>
      </c>
      <c r="H261" s="164">
        <v>852687174</v>
      </c>
      <c r="I261" s="77">
        <f>[26]IPC!$S$13/78.05</f>
        <v>1.3542600896860988</v>
      </c>
      <c r="J261" s="75" t="s">
        <v>689</v>
      </c>
      <c r="K261" s="212">
        <f>+E261/I261</f>
        <v>852687174.00337744</v>
      </c>
      <c r="L261" s="173" t="s">
        <v>690</v>
      </c>
      <c r="M261" s="1" t="s">
        <v>989</v>
      </c>
      <c r="N261" s="217">
        <f>+H261-K261+N260</f>
        <v>-5264133.93149806</v>
      </c>
    </row>
    <row r="262" spans="1:18" ht="15" x14ac:dyDescent="0.25">
      <c r="A262" s="178" t="s">
        <v>534</v>
      </c>
      <c r="B262" s="355" t="s">
        <v>691</v>
      </c>
      <c r="C262" s="158" t="s">
        <v>51</v>
      </c>
      <c r="D262" s="55" t="s">
        <v>143</v>
      </c>
      <c r="E262" s="162">
        <v>1151045748.27</v>
      </c>
      <c r="F262" s="4" t="s">
        <v>692</v>
      </c>
      <c r="G262" s="206">
        <v>43998</v>
      </c>
      <c r="H262" s="164">
        <v>852687174</v>
      </c>
      <c r="I262" s="77">
        <f>[26]IPC!$S$14/78.05</f>
        <v>1.3499039077514414</v>
      </c>
      <c r="J262" s="75" t="s">
        <v>693</v>
      </c>
      <c r="K262" s="212">
        <f>+E262/I262</f>
        <v>852687173.99841964</v>
      </c>
      <c r="L262" s="173" t="s">
        <v>694</v>
      </c>
      <c r="M262" s="1" t="s">
        <v>988</v>
      </c>
      <c r="N262" s="217">
        <f>+H262-K262+N261</f>
        <v>-5264133.9299177025</v>
      </c>
    </row>
    <row r="263" spans="1:18" ht="15" x14ac:dyDescent="0.25">
      <c r="A263" s="178" t="s">
        <v>534</v>
      </c>
      <c r="B263" s="355" t="s">
        <v>695</v>
      </c>
      <c r="C263" s="158" t="s">
        <v>51</v>
      </c>
      <c r="D263" s="55" t="s">
        <v>143</v>
      </c>
      <c r="E263" s="162">
        <v>625016441</v>
      </c>
      <c r="F263" s="4" t="s">
        <v>696</v>
      </c>
      <c r="G263" s="206">
        <v>44026</v>
      </c>
      <c r="H263" s="164">
        <v>464728334</v>
      </c>
      <c r="I263" s="77">
        <f>[26]IPC!$S$15/78.05</f>
        <v>1.3449071108263935</v>
      </c>
      <c r="J263" s="75" t="s">
        <v>697</v>
      </c>
      <c r="K263" s="212">
        <f>+E263/I263</f>
        <v>464728334.0006668</v>
      </c>
      <c r="L263" s="173" t="s">
        <v>698</v>
      </c>
      <c r="M263" s="1" t="s">
        <v>987</v>
      </c>
      <c r="N263" s="217">
        <f>+H263-K263+N262</f>
        <v>-5264133.9305844996</v>
      </c>
    </row>
    <row r="264" spans="1:18" ht="15" x14ac:dyDescent="0.25">
      <c r="A264" s="178" t="s">
        <v>534</v>
      </c>
      <c r="B264" s="355" t="s">
        <v>855</v>
      </c>
      <c r="C264" s="158" t="s">
        <v>51</v>
      </c>
      <c r="D264" s="55" t="s">
        <v>143</v>
      </c>
      <c r="E264" s="162">
        <v>625016441</v>
      </c>
      <c r="F264" s="4" t="s">
        <v>854</v>
      </c>
      <c r="G264" s="206">
        <v>44068</v>
      </c>
      <c r="H264" s="164">
        <v>464728334</v>
      </c>
      <c r="I264" s="77">
        <f>[26]IPC!$S$16/78.05</f>
        <v>1.3449071108263935</v>
      </c>
      <c r="J264" s="75" t="s">
        <v>853</v>
      </c>
      <c r="K264" s="212">
        <f>+E264/I264</f>
        <v>464728334.0006668</v>
      </c>
      <c r="L264" s="173" t="s">
        <v>852</v>
      </c>
      <c r="M264" s="1" t="s">
        <v>851</v>
      </c>
      <c r="N264" s="217">
        <f>+H264-K264+N263</f>
        <v>-5264133.9312512968</v>
      </c>
    </row>
    <row r="265" spans="1:18" ht="15" x14ac:dyDescent="0.25">
      <c r="A265" s="178" t="s">
        <v>534</v>
      </c>
      <c r="B265" s="355" t="s">
        <v>850</v>
      </c>
      <c r="C265" s="158" t="s">
        <v>51</v>
      </c>
      <c r="D265" s="55" t="s">
        <v>143</v>
      </c>
      <c r="E265" s="162">
        <v>624956989.61000001</v>
      </c>
      <c r="F265" s="4" t="s">
        <v>849</v>
      </c>
      <c r="G265" s="206">
        <v>44088</v>
      </c>
      <c r="H265" s="164">
        <v>464728334</v>
      </c>
      <c r="I265" s="77">
        <f>[26]IPC!$S$17/78.05</f>
        <v>1.3447789878283152</v>
      </c>
      <c r="J265" s="75" t="s">
        <v>848</v>
      </c>
      <c r="K265" s="212">
        <f>+E265/I265</f>
        <v>464728401.66787827</v>
      </c>
      <c r="L265" s="173" t="s">
        <v>847</v>
      </c>
      <c r="M265" s="1" t="s">
        <v>846</v>
      </c>
      <c r="N265" s="54"/>
    </row>
    <row r="266" spans="1:18" ht="15" x14ac:dyDescent="0.25">
      <c r="A266" s="178" t="s">
        <v>534</v>
      </c>
      <c r="B266" s="857" t="s">
        <v>845</v>
      </c>
      <c r="C266" s="158" t="s">
        <v>51</v>
      </c>
      <c r="D266" s="55" t="s">
        <v>143</v>
      </c>
      <c r="E266" s="162">
        <v>624956898.61000001</v>
      </c>
      <c r="F266" s="4" t="s">
        <v>844</v>
      </c>
      <c r="G266" s="206">
        <v>44118</v>
      </c>
      <c r="H266" s="859">
        <v>464728334</v>
      </c>
      <c r="I266" s="77">
        <f>[26]IPC!$S$18/78.05</f>
        <v>1.3490070467648945</v>
      </c>
      <c r="J266" s="75" t="s">
        <v>843</v>
      </c>
      <c r="K266" s="212">
        <f>+E266/I266</f>
        <v>463271782.09241611</v>
      </c>
      <c r="L266" s="173" t="s">
        <v>842</v>
      </c>
      <c r="M266" s="1" t="s">
        <v>841</v>
      </c>
    </row>
    <row r="267" spans="1:18" ht="15" x14ac:dyDescent="0.25">
      <c r="A267" s="178" t="s">
        <v>534</v>
      </c>
      <c r="B267" s="858"/>
      <c r="C267" s="158" t="s">
        <v>51</v>
      </c>
      <c r="D267" s="55" t="s">
        <v>143</v>
      </c>
      <c r="E267" s="162">
        <v>1964898</v>
      </c>
      <c r="F267" s="4" t="s">
        <v>898</v>
      </c>
      <c r="G267" s="206">
        <v>44134</v>
      </c>
      <c r="H267" s="860"/>
      <c r="I267" s="77">
        <f>[26]IPC!$S$18/78.05</f>
        <v>1.3490070467648945</v>
      </c>
      <c r="J267" s="75" t="s">
        <v>843</v>
      </c>
      <c r="K267" s="212">
        <f>+E267/I267</f>
        <v>1456551.3239623895</v>
      </c>
      <c r="L267" s="173" t="s">
        <v>897</v>
      </c>
      <c r="M267" s="1" t="s">
        <v>896</v>
      </c>
    </row>
    <row r="268" spans="1:18" ht="15" x14ac:dyDescent="0.25">
      <c r="A268" s="178"/>
      <c r="B268" s="355" t="s">
        <v>1163</v>
      </c>
      <c r="C268" s="158" t="s">
        <v>51</v>
      </c>
      <c r="D268" s="55" t="s">
        <v>143</v>
      </c>
      <c r="E268" s="162">
        <f>626564543.07-E276</f>
        <v>625671407.25999999</v>
      </c>
      <c r="F268" s="4" t="s">
        <v>1162</v>
      </c>
      <c r="G268" s="206">
        <v>44187</v>
      </c>
      <c r="H268" s="164">
        <v>464728334</v>
      </c>
      <c r="I268" s="77">
        <f>[26]IPC!$S$20/78.05</f>
        <v>1.3463164638052532</v>
      </c>
      <c r="J268" s="75" t="s">
        <v>1157</v>
      </c>
      <c r="K268" s="212">
        <f>+E268/I268</f>
        <v>464728333.99926716</v>
      </c>
      <c r="L268" s="173" t="s">
        <v>1161</v>
      </c>
      <c r="M268" s="1" t="s">
        <v>1160</v>
      </c>
    </row>
    <row r="269" spans="1:18" ht="15" x14ac:dyDescent="0.25">
      <c r="A269" s="178"/>
      <c r="B269" s="355" t="s">
        <v>1159</v>
      </c>
      <c r="C269" s="158" t="s">
        <v>51</v>
      </c>
      <c r="D269" s="55" t="s">
        <v>143</v>
      </c>
      <c r="E269" s="162">
        <f>625671407.26</f>
        <v>625671407.25999999</v>
      </c>
      <c r="F269" s="4" t="s">
        <v>1158</v>
      </c>
      <c r="G269" s="206">
        <v>44180</v>
      </c>
      <c r="H269" s="164">
        <v>464728334</v>
      </c>
      <c r="I269" s="77">
        <f>[26]IPC!$S$20/78.05</f>
        <v>1.3463164638052532</v>
      </c>
      <c r="J269" s="75" t="s">
        <v>1157</v>
      </c>
      <c r="K269" s="212">
        <f>+E269/I269</f>
        <v>464728333.99926716</v>
      </c>
      <c r="L269" s="173" t="s">
        <v>1156</v>
      </c>
      <c r="M269" s="1" t="s">
        <v>1155</v>
      </c>
    </row>
    <row r="270" spans="1:18" s="119" customFormat="1" ht="15" x14ac:dyDescent="0.25">
      <c r="A270" s="178" t="s">
        <v>534</v>
      </c>
      <c r="B270" s="352" t="s">
        <v>699</v>
      </c>
      <c r="C270" s="352"/>
      <c r="D270" s="56"/>
      <c r="E270" s="120">
        <f>SUM(E225:E269)</f>
        <v>45458936875.919441</v>
      </c>
      <c r="F270" s="211"/>
      <c r="G270" s="210"/>
      <c r="H270" s="120">
        <f>SUM(H225:H269)</f>
        <v>35191102178.979996</v>
      </c>
      <c r="I270" s="121"/>
      <c r="J270" s="216"/>
      <c r="K270" s="215">
        <f>SUM(K225:K269)</f>
        <v>35196366379.994041</v>
      </c>
      <c r="L270" s="207">
        <f>+K270-H270</f>
        <v>5264201.0140457153</v>
      </c>
      <c r="M270" s="189"/>
      <c r="O270" s="57"/>
      <c r="P270" s="57"/>
      <c r="Q270" s="57"/>
      <c r="R270" s="57"/>
    </row>
    <row r="271" spans="1:18" ht="15" x14ac:dyDescent="0.25">
      <c r="A271" s="178" t="s">
        <v>534</v>
      </c>
      <c r="B271" s="158"/>
      <c r="C271" s="158"/>
      <c r="D271" s="55"/>
      <c r="E271" s="162"/>
      <c r="F271" s="161"/>
      <c r="G271" s="206"/>
      <c r="H271" s="164"/>
      <c r="I271" s="77"/>
      <c r="J271" s="75"/>
      <c r="K271" s="163"/>
      <c r="L271" s="355"/>
      <c r="M271" s="54"/>
    </row>
    <row r="272" spans="1:18" ht="15" x14ac:dyDescent="0.25">
      <c r="A272" s="178" t="s">
        <v>534</v>
      </c>
      <c r="B272" s="214" t="s">
        <v>700</v>
      </c>
      <c r="C272" s="158"/>
      <c r="D272" s="55"/>
      <c r="E272" s="162"/>
      <c r="F272" s="161"/>
      <c r="G272" s="206"/>
      <c r="H272" s="164"/>
      <c r="I272" s="77"/>
      <c r="J272" s="75"/>
      <c r="K272" s="163"/>
      <c r="L272" s="355"/>
      <c r="M272" s="54"/>
    </row>
    <row r="273" spans="1:18" ht="15" x14ac:dyDescent="0.25">
      <c r="A273" s="178" t="s">
        <v>534</v>
      </c>
      <c r="B273" s="358" t="s">
        <v>701</v>
      </c>
      <c r="C273" s="158" t="s">
        <v>840</v>
      </c>
      <c r="D273" s="55" t="s">
        <v>143</v>
      </c>
      <c r="E273" s="118">
        <v>496102</v>
      </c>
      <c r="F273" s="4" t="s">
        <v>702</v>
      </c>
      <c r="G273" s="206">
        <v>43432</v>
      </c>
      <c r="H273" s="164"/>
      <c r="I273" s="77">
        <f>142.67/111.82</f>
        <v>1.2758898229297084</v>
      </c>
      <c r="J273" s="75" t="s">
        <v>319</v>
      </c>
      <c r="K273" s="212">
        <f>+E273/I273</f>
        <v>388828.24448026915</v>
      </c>
      <c r="L273" s="173" t="s">
        <v>321</v>
      </c>
      <c r="M273" s="54"/>
    </row>
    <row r="274" spans="1:18" ht="29.25" x14ac:dyDescent="0.25">
      <c r="A274" s="178" t="s">
        <v>534</v>
      </c>
      <c r="B274" s="351" t="s">
        <v>703</v>
      </c>
      <c r="C274" s="158" t="s">
        <v>840</v>
      </c>
      <c r="D274" s="55" t="s">
        <v>143</v>
      </c>
      <c r="E274" s="118">
        <v>3773012.800566304</v>
      </c>
      <c r="F274" s="4" t="s">
        <v>704</v>
      </c>
      <c r="G274" s="206">
        <v>43748</v>
      </c>
      <c r="H274" s="164"/>
      <c r="I274" s="77">
        <f>103.26/111.82</f>
        <v>0.92344839921302102</v>
      </c>
      <c r="J274" s="75" t="s">
        <v>461</v>
      </c>
      <c r="K274" s="213">
        <v>2851865.67</v>
      </c>
      <c r="L274" s="173" t="s">
        <v>705</v>
      </c>
      <c r="M274" s="54"/>
    </row>
    <row r="275" spans="1:18" ht="15" x14ac:dyDescent="0.25">
      <c r="A275" s="178" t="s">
        <v>534</v>
      </c>
      <c r="B275" s="351" t="s">
        <v>706</v>
      </c>
      <c r="C275" s="158" t="s">
        <v>840</v>
      </c>
      <c r="D275" s="55" t="s">
        <v>143</v>
      </c>
      <c r="E275" s="118">
        <v>389605</v>
      </c>
      <c r="F275" s="4"/>
      <c r="G275" s="206">
        <v>43935</v>
      </c>
      <c r="H275" s="164"/>
      <c r="I275" s="77">
        <f>105.53/78.05</f>
        <v>1.35208199871877</v>
      </c>
      <c r="J275" s="75" t="s">
        <v>685</v>
      </c>
      <c r="K275" s="212">
        <f>+E275/I275</f>
        <v>288151.90230266278</v>
      </c>
      <c r="L275" s="173" t="s">
        <v>707</v>
      </c>
      <c r="M275" s="54"/>
    </row>
    <row r="276" spans="1:18" ht="15" x14ac:dyDescent="0.25">
      <c r="A276" s="178"/>
      <c r="B276" s="351" t="s">
        <v>1154</v>
      </c>
      <c r="C276" s="158" t="s">
        <v>840</v>
      </c>
      <c r="D276" s="55" t="s">
        <v>143</v>
      </c>
      <c r="E276" s="118">
        <f>+K276*I276</f>
        <v>893135.81000009703</v>
      </c>
      <c r="F276" s="4" t="s">
        <v>1367</v>
      </c>
      <c r="G276" s="206">
        <v>44187</v>
      </c>
      <c r="H276" s="164"/>
      <c r="I276" s="77">
        <f>[26]IPC!$S$20/78.05</f>
        <v>1.3463164638052532</v>
      </c>
      <c r="J276" s="75"/>
      <c r="K276" s="212">
        <v>663392.17710798979</v>
      </c>
      <c r="L276" s="173"/>
      <c r="M276" s="54"/>
    </row>
    <row r="277" spans="1:18" s="119" customFormat="1" ht="15" x14ac:dyDescent="0.25">
      <c r="A277" s="178" t="s">
        <v>534</v>
      </c>
      <c r="B277" s="352" t="s">
        <v>708</v>
      </c>
      <c r="C277" s="352"/>
      <c r="D277" s="56"/>
      <c r="E277" s="120">
        <f>SUM(E273:E275)</f>
        <v>4658719.8005663045</v>
      </c>
      <c r="F277" s="211"/>
      <c r="G277" s="210"/>
      <c r="H277" s="209">
        <f>SUM(H273:H275)</f>
        <v>0</v>
      </c>
      <c r="I277" s="120"/>
      <c r="J277" s="120"/>
      <c r="K277" s="208">
        <f>SUM(K273:K275)</f>
        <v>3528845.8167829318</v>
      </c>
      <c r="L277" s="207">
        <f>+K277-H277</f>
        <v>3528845.8167829318</v>
      </c>
      <c r="M277" s="189"/>
      <c r="O277" s="57"/>
      <c r="P277" s="57"/>
      <c r="Q277" s="57"/>
      <c r="R277" s="57"/>
    </row>
    <row r="278" spans="1:18" s="119" customFormat="1" ht="15" x14ac:dyDescent="0.25">
      <c r="A278" s="178" t="s">
        <v>534</v>
      </c>
      <c r="B278" s="352" t="s">
        <v>709</v>
      </c>
      <c r="C278" s="352"/>
      <c r="D278" s="56"/>
      <c r="E278" s="120">
        <f>+E270+E277</f>
        <v>45463595595.720009</v>
      </c>
      <c r="F278" s="211"/>
      <c r="G278" s="210"/>
      <c r="H278" s="209">
        <f>+H270+H277</f>
        <v>35191102178.979996</v>
      </c>
      <c r="I278" s="120"/>
      <c r="J278" s="120"/>
      <c r="K278" s="208">
        <f>+K270+K277</f>
        <v>35199895225.810822</v>
      </c>
      <c r="L278" s="207">
        <f>+K278-H278</f>
        <v>8793046.8308258057</v>
      </c>
      <c r="M278" s="189"/>
      <c r="O278" s="57"/>
      <c r="P278" s="57"/>
      <c r="Q278" s="57"/>
      <c r="R278" s="57"/>
    </row>
    <row r="279" spans="1:18" ht="15" hidden="1" x14ac:dyDescent="0.25">
      <c r="A279" s="178" t="s">
        <v>534</v>
      </c>
      <c r="B279" s="355"/>
      <c r="C279" s="158"/>
      <c r="D279" s="55"/>
      <c r="E279" s="162"/>
      <c r="F279" s="161"/>
      <c r="G279" s="206"/>
      <c r="H279" s="164"/>
      <c r="I279" s="77"/>
      <c r="J279" s="75"/>
      <c r="K279" s="163"/>
      <c r="L279" s="355"/>
      <c r="M279" s="54"/>
    </row>
    <row r="280" spans="1:18" ht="15" hidden="1" x14ac:dyDescent="0.25">
      <c r="A280" s="178" t="s">
        <v>534</v>
      </c>
      <c r="B280" s="355"/>
      <c r="C280" s="158"/>
      <c r="D280" s="55"/>
      <c r="E280" s="162"/>
      <c r="F280" s="161"/>
      <c r="G280" s="206"/>
      <c r="H280" s="164"/>
      <c r="I280" s="77"/>
      <c r="J280" s="75"/>
      <c r="K280" s="163"/>
      <c r="L280" s="355"/>
      <c r="M280" s="54"/>
    </row>
    <row r="281" spans="1:18" hidden="1" x14ac:dyDescent="0.2">
      <c r="A281" s="178" t="s">
        <v>534</v>
      </c>
      <c r="B281" s="188"/>
      <c r="C281" s="188"/>
      <c r="D281" s="54"/>
      <c r="E281" s="54"/>
      <c r="F281" s="54"/>
      <c r="G281" s="187"/>
      <c r="H281" s="186"/>
      <c r="I281" s="54"/>
      <c r="J281" s="54"/>
      <c r="K281" s="54"/>
      <c r="L281" s="54"/>
      <c r="M281" s="54"/>
    </row>
    <row r="282" spans="1:18" s="180" customFormat="1" ht="15" x14ac:dyDescent="0.25">
      <c r="A282" s="180" t="s">
        <v>478</v>
      </c>
      <c r="B282" s="356" t="s">
        <v>238</v>
      </c>
      <c r="C282" s="356"/>
      <c r="D282" s="356"/>
      <c r="E282" s="356"/>
      <c r="F282" s="356"/>
      <c r="G282" s="185"/>
      <c r="H282" s="356"/>
      <c r="I282" s="356"/>
      <c r="J282" s="356"/>
      <c r="K282" s="356"/>
      <c r="L282" s="356"/>
      <c r="M282" s="182"/>
      <c r="O282" s="181"/>
      <c r="P282" s="181"/>
      <c r="Q282" s="181"/>
      <c r="R282" s="181"/>
    </row>
    <row r="283" spans="1:18" s="180" customFormat="1" ht="15" x14ac:dyDescent="0.25">
      <c r="A283" s="184" t="s">
        <v>534</v>
      </c>
      <c r="B283" s="141" t="s">
        <v>130</v>
      </c>
      <c r="C283" s="142" t="s">
        <v>131</v>
      </c>
      <c r="D283" s="142" t="s">
        <v>132</v>
      </c>
      <c r="E283" s="842" t="s">
        <v>133</v>
      </c>
      <c r="F283" s="843"/>
      <c r="G283" s="842" t="s">
        <v>134</v>
      </c>
      <c r="H283" s="844"/>
      <c r="I283" s="844"/>
      <c r="J283" s="844"/>
      <c r="K283" s="843"/>
      <c r="L283" s="143" t="s">
        <v>97</v>
      </c>
      <c r="M283" s="143" t="s">
        <v>837</v>
      </c>
      <c r="O283" s="181"/>
      <c r="P283" s="181"/>
      <c r="Q283" s="181"/>
      <c r="R283" s="181"/>
    </row>
    <row r="284" spans="1:18" s="180" customFormat="1" ht="45" x14ac:dyDescent="0.25">
      <c r="A284" s="184" t="s">
        <v>534</v>
      </c>
      <c r="B284" s="141"/>
      <c r="C284" s="142"/>
      <c r="D284" s="142"/>
      <c r="E284" s="144" t="s">
        <v>135</v>
      </c>
      <c r="F284" s="144" t="s">
        <v>136</v>
      </c>
      <c r="G284" s="183" t="s">
        <v>619</v>
      </c>
      <c r="H284" s="144" t="s">
        <v>137</v>
      </c>
      <c r="I284" s="144" t="s">
        <v>138</v>
      </c>
      <c r="J284" s="144" t="s">
        <v>139</v>
      </c>
      <c r="K284" s="144" t="s">
        <v>140</v>
      </c>
      <c r="L284" s="143"/>
      <c r="M284" s="182"/>
      <c r="O284" s="181"/>
      <c r="P284" s="181"/>
      <c r="Q284" s="181"/>
      <c r="R284" s="181"/>
    </row>
    <row r="285" spans="1:18" ht="15" x14ac:dyDescent="0.2">
      <c r="A285" s="178" t="s">
        <v>534</v>
      </c>
      <c r="B285" s="355" t="s">
        <v>141</v>
      </c>
      <c r="C285" s="157" t="s">
        <v>22</v>
      </c>
      <c r="D285" s="55" t="s">
        <v>143</v>
      </c>
      <c r="E285" s="140">
        <v>15367645546</v>
      </c>
      <c r="F285" s="205" t="s">
        <v>239</v>
      </c>
      <c r="G285" s="179">
        <v>42913</v>
      </c>
      <c r="H285" s="175">
        <v>12478470154</v>
      </c>
      <c r="I285" s="39">
        <f>137.71/111.82</f>
        <v>1.2315328206045431</v>
      </c>
      <c r="J285" s="31" t="s">
        <v>185</v>
      </c>
      <c r="K285" s="50">
        <f>+E285/I285</f>
        <v>12478470154.336794</v>
      </c>
      <c r="L285" s="173" t="s">
        <v>178</v>
      </c>
      <c r="M285" s="54" t="s">
        <v>986</v>
      </c>
    </row>
    <row r="286" spans="1:18" ht="15" hidden="1" x14ac:dyDescent="0.2">
      <c r="A286" s="178" t="s">
        <v>839</v>
      </c>
      <c r="B286" s="355"/>
      <c r="C286" s="158"/>
      <c r="D286" s="55"/>
      <c r="E286" s="159"/>
      <c r="F286" s="348"/>
      <c r="G286" s="179"/>
      <c r="H286" s="175"/>
      <c r="I286" s="39"/>
      <c r="J286" s="31"/>
      <c r="K286" s="160"/>
      <c r="L286" s="355"/>
      <c r="M286" s="54"/>
    </row>
    <row r="287" spans="1:18" ht="15" hidden="1" x14ac:dyDescent="0.2">
      <c r="A287" s="178" t="s">
        <v>839</v>
      </c>
      <c r="B287" s="355"/>
      <c r="C287" s="158"/>
      <c r="D287" s="55"/>
      <c r="E287" s="159"/>
      <c r="F287" s="348"/>
      <c r="G287" s="179"/>
      <c r="H287" s="175"/>
      <c r="I287" s="39"/>
      <c r="J287" s="31"/>
      <c r="K287" s="160"/>
      <c r="L287" s="355"/>
      <c r="M287" s="54"/>
    </row>
    <row r="288" spans="1:18" hidden="1" x14ac:dyDescent="0.2">
      <c r="A288" s="178" t="s">
        <v>839</v>
      </c>
      <c r="B288" s="188"/>
      <c r="C288" s="188"/>
      <c r="D288" s="54"/>
      <c r="E288" s="54"/>
      <c r="F288" s="54"/>
      <c r="G288" s="187"/>
      <c r="H288" s="186"/>
      <c r="I288" s="54"/>
      <c r="J288" s="54"/>
      <c r="K288" s="54"/>
      <c r="L288" s="54"/>
      <c r="M288" s="54"/>
    </row>
    <row r="289" spans="1:18" hidden="1" x14ac:dyDescent="0.2">
      <c r="A289" s="178" t="s">
        <v>839</v>
      </c>
      <c r="B289" s="188"/>
      <c r="C289" s="188"/>
      <c r="D289" s="54"/>
      <c r="E289" s="54"/>
      <c r="F289" s="54"/>
      <c r="G289" s="187"/>
      <c r="H289" s="186"/>
      <c r="I289" s="54"/>
      <c r="J289" s="54"/>
      <c r="K289" s="54"/>
      <c r="L289" s="54"/>
      <c r="M289" s="54"/>
    </row>
    <row r="290" spans="1:18" hidden="1" x14ac:dyDescent="0.2">
      <c r="A290" s="178" t="s">
        <v>839</v>
      </c>
      <c r="B290" s="188"/>
      <c r="C290" s="188"/>
      <c r="D290" s="54"/>
      <c r="E290" s="54"/>
      <c r="F290" s="54"/>
      <c r="G290" s="187"/>
      <c r="H290" s="186"/>
      <c r="I290" s="54"/>
      <c r="J290" s="54"/>
      <c r="K290" s="54"/>
      <c r="L290" s="54"/>
      <c r="M290" s="54"/>
    </row>
    <row r="291" spans="1:18" s="180" customFormat="1" ht="15" x14ac:dyDescent="0.25">
      <c r="A291" s="180" t="s">
        <v>534</v>
      </c>
      <c r="B291" s="356" t="s">
        <v>240</v>
      </c>
      <c r="C291" s="356"/>
      <c r="D291" s="356"/>
      <c r="E291" s="356"/>
      <c r="F291" s="356"/>
      <c r="G291" s="185"/>
      <c r="H291" s="356"/>
      <c r="I291" s="356"/>
      <c r="J291" s="356"/>
      <c r="K291" s="356"/>
      <c r="L291" s="356"/>
      <c r="M291" s="182"/>
      <c r="O291" s="181"/>
      <c r="P291" s="181"/>
      <c r="Q291" s="181"/>
      <c r="R291" s="181"/>
    </row>
    <row r="292" spans="1:18" s="180" customFormat="1" ht="15" x14ac:dyDescent="0.25">
      <c r="A292" s="180" t="s">
        <v>474</v>
      </c>
      <c r="B292" s="356" t="s">
        <v>241</v>
      </c>
      <c r="C292" s="356"/>
      <c r="D292" s="356"/>
      <c r="E292" s="356"/>
      <c r="F292" s="356"/>
      <c r="G292" s="185"/>
      <c r="H292" s="356"/>
      <c r="I292" s="356"/>
      <c r="J292" s="356"/>
      <c r="K292" s="356"/>
      <c r="L292" s="356"/>
      <c r="M292" s="182"/>
      <c r="O292" s="181"/>
      <c r="P292" s="181"/>
      <c r="Q292" s="181"/>
      <c r="R292" s="181"/>
    </row>
    <row r="293" spans="1:18" s="180" customFormat="1" ht="15" x14ac:dyDescent="0.25">
      <c r="A293" s="184" t="s">
        <v>534</v>
      </c>
      <c r="B293" s="141" t="s">
        <v>130</v>
      </c>
      <c r="C293" s="142" t="s">
        <v>131</v>
      </c>
      <c r="D293" s="142" t="s">
        <v>132</v>
      </c>
      <c r="E293" s="842" t="s">
        <v>133</v>
      </c>
      <c r="F293" s="843"/>
      <c r="G293" s="842" t="s">
        <v>134</v>
      </c>
      <c r="H293" s="844"/>
      <c r="I293" s="844"/>
      <c r="J293" s="844"/>
      <c r="K293" s="843"/>
      <c r="L293" s="143" t="s">
        <v>97</v>
      </c>
      <c r="M293" s="143" t="s">
        <v>837</v>
      </c>
      <c r="O293" s="181"/>
      <c r="P293" s="181"/>
      <c r="Q293" s="181"/>
      <c r="R293" s="181"/>
    </row>
    <row r="294" spans="1:18" s="180" customFormat="1" ht="45" x14ac:dyDescent="0.25">
      <c r="A294" s="184" t="s">
        <v>534</v>
      </c>
      <c r="B294" s="141"/>
      <c r="C294" s="142"/>
      <c r="D294" s="142"/>
      <c r="E294" s="144" t="s">
        <v>135</v>
      </c>
      <c r="F294" s="144" t="s">
        <v>136</v>
      </c>
      <c r="G294" s="183" t="s">
        <v>619</v>
      </c>
      <c r="H294" s="144" t="s">
        <v>137</v>
      </c>
      <c r="I294" s="144" t="s">
        <v>138</v>
      </c>
      <c r="J294" s="144" t="s">
        <v>139</v>
      </c>
      <c r="K294" s="144" t="s">
        <v>140</v>
      </c>
      <c r="L294" s="143"/>
      <c r="M294" s="182"/>
      <c r="O294" s="181"/>
      <c r="P294" s="181"/>
      <c r="Q294" s="181"/>
      <c r="R294" s="181"/>
    </row>
    <row r="295" spans="1:18" ht="28.5" x14ac:dyDescent="0.2">
      <c r="A295" s="178" t="s">
        <v>534</v>
      </c>
      <c r="B295" s="355" t="s">
        <v>141</v>
      </c>
      <c r="C295" s="348" t="s">
        <v>710</v>
      </c>
      <c r="D295" s="55" t="s">
        <v>143</v>
      </c>
      <c r="E295" s="155">
        <v>3039215719</v>
      </c>
      <c r="F295" s="199" t="s">
        <v>711</v>
      </c>
      <c r="G295" s="198" t="s">
        <v>242</v>
      </c>
      <c r="H295" s="202">
        <v>2456948393</v>
      </c>
      <c r="I295" s="39">
        <f>138.32/111.82</f>
        <v>1.2369880164550171</v>
      </c>
      <c r="J295" s="79" t="s">
        <v>335</v>
      </c>
      <c r="K295" s="156">
        <f>+E295/I295</f>
        <v>2456948392.8468766</v>
      </c>
      <c r="L295" s="173" t="s">
        <v>243</v>
      </c>
      <c r="M295" s="54"/>
      <c r="O295" s="181"/>
      <c r="P295" s="181"/>
      <c r="Q295" s="181"/>
    </row>
    <row r="296" spans="1:18" ht="15" customHeight="1" x14ac:dyDescent="0.2">
      <c r="A296" s="178" t="s">
        <v>534</v>
      </c>
      <c r="B296" s="355" t="s">
        <v>145</v>
      </c>
      <c r="C296" s="348" t="s">
        <v>710</v>
      </c>
      <c r="D296" s="55" t="s">
        <v>143</v>
      </c>
      <c r="E296" s="155">
        <f>11645347</f>
        <v>11645347</v>
      </c>
      <c r="F296" s="199" t="s">
        <v>712</v>
      </c>
      <c r="G296" s="198">
        <v>43110</v>
      </c>
      <c r="H296" s="845">
        <v>2456948393</v>
      </c>
      <c r="I296" s="39">
        <f>138.85/111.82</f>
        <v>1.2417277767841173</v>
      </c>
      <c r="J296" s="204" t="s">
        <v>231</v>
      </c>
      <c r="K296" s="156">
        <f>+E296/I296</f>
        <v>9378341.3866762705</v>
      </c>
      <c r="L296" s="173" t="s">
        <v>243</v>
      </c>
      <c r="M296" s="54" t="s">
        <v>985</v>
      </c>
      <c r="O296" s="181"/>
      <c r="P296" s="181"/>
      <c r="Q296" s="181"/>
    </row>
    <row r="297" spans="1:18" ht="14.25" x14ac:dyDescent="0.2">
      <c r="A297" s="178"/>
      <c r="B297" s="355" t="s">
        <v>145</v>
      </c>
      <c r="C297" s="348" t="s">
        <v>710</v>
      </c>
      <c r="D297" s="55" t="s">
        <v>143</v>
      </c>
      <c r="E297" s="155">
        <v>3039215719</v>
      </c>
      <c r="F297" s="199" t="s">
        <v>712</v>
      </c>
      <c r="G297" s="198">
        <v>43109</v>
      </c>
      <c r="H297" s="846"/>
      <c r="I297" s="39">
        <f>138.85/111.82</f>
        <v>1.2417277767841173</v>
      </c>
      <c r="J297" s="204" t="s">
        <v>231</v>
      </c>
      <c r="K297" s="156">
        <f>+E297/I297</f>
        <v>2447570051.8442926</v>
      </c>
      <c r="L297" s="173"/>
      <c r="M297" s="54" t="s">
        <v>984</v>
      </c>
      <c r="O297" s="181"/>
      <c r="P297" s="181"/>
      <c r="Q297" s="181"/>
    </row>
    <row r="298" spans="1:18" ht="14.25" x14ac:dyDescent="0.2">
      <c r="A298" s="178" t="s">
        <v>534</v>
      </c>
      <c r="B298" s="355" t="s">
        <v>146</v>
      </c>
      <c r="C298" s="348" t="s">
        <v>710</v>
      </c>
      <c r="D298" s="55" t="s">
        <v>143</v>
      </c>
      <c r="E298" s="155">
        <v>3069977012</v>
      </c>
      <c r="F298" s="199" t="s">
        <v>713</v>
      </c>
      <c r="G298" s="198">
        <v>43150</v>
      </c>
      <c r="H298" s="202">
        <v>2456948393</v>
      </c>
      <c r="I298" s="39">
        <f>139.72/111.82</f>
        <v>1.2495081380790556</v>
      </c>
      <c r="J298" s="76" t="s">
        <v>244</v>
      </c>
      <c r="K298" s="156">
        <f>+E298/I298</f>
        <v>2456948393.0850272</v>
      </c>
      <c r="L298" s="173" t="s">
        <v>243</v>
      </c>
      <c r="M298" s="54" t="s">
        <v>983</v>
      </c>
      <c r="O298" s="181"/>
      <c r="P298" s="181"/>
      <c r="Q298" s="181"/>
    </row>
    <row r="299" spans="1:18" ht="14.25" x14ac:dyDescent="0.2">
      <c r="A299" s="178" t="s">
        <v>534</v>
      </c>
      <c r="B299" s="355" t="s">
        <v>147</v>
      </c>
      <c r="C299" s="348" t="s">
        <v>710</v>
      </c>
      <c r="D299" s="55" t="s">
        <v>143</v>
      </c>
      <c r="E299" s="155">
        <v>3069977012</v>
      </c>
      <c r="F299" s="199" t="s">
        <v>714</v>
      </c>
      <c r="G299" s="198">
        <v>43157</v>
      </c>
      <c r="H299" s="202">
        <v>2456948393</v>
      </c>
      <c r="I299" s="39">
        <f>139.72/111.82</f>
        <v>1.2495081380790556</v>
      </c>
      <c r="J299" s="76" t="s">
        <v>245</v>
      </c>
      <c r="K299" s="156">
        <f>+E299/I299</f>
        <v>2456948393.0850272</v>
      </c>
      <c r="L299" s="173" t="s">
        <v>218</v>
      </c>
      <c r="M299" s="54"/>
      <c r="O299" s="181"/>
      <c r="P299" s="181"/>
      <c r="Q299" s="181"/>
    </row>
    <row r="300" spans="1:18" ht="14.25" x14ac:dyDescent="0.2">
      <c r="A300" s="178" t="s">
        <v>534</v>
      </c>
      <c r="B300" s="146" t="s">
        <v>148</v>
      </c>
      <c r="C300" s="147" t="s">
        <v>710</v>
      </c>
      <c r="D300" s="58" t="s">
        <v>143</v>
      </c>
      <c r="E300" s="156">
        <v>3091729640</v>
      </c>
      <c r="F300" s="149" t="s">
        <v>715</v>
      </c>
      <c r="G300" s="196">
        <v>43182</v>
      </c>
      <c r="H300" s="202">
        <v>2456948393</v>
      </c>
      <c r="I300" s="74">
        <f>140.71/111.82</f>
        <v>1.2583616526560546</v>
      </c>
      <c r="J300" s="76" t="s">
        <v>237</v>
      </c>
      <c r="K300" s="156">
        <f>+E300/I300</f>
        <v>2456948392.7567334</v>
      </c>
      <c r="L300" s="194" t="s">
        <v>218</v>
      </c>
      <c r="M300" s="54" t="s">
        <v>982</v>
      </c>
      <c r="O300" s="181"/>
      <c r="P300" s="181"/>
      <c r="Q300" s="181"/>
    </row>
    <row r="301" spans="1:18" ht="14.25" x14ac:dyDescent="0.2">
      <c r="A301" s="178" t="s">
        <v>534</v>
      </c>
      <c r="B301" s="355" t="s">
        <v>149</v>
      </c>
      <c r="C301" s="348" t="s">
        <v>710</v>
      </c>
      <c r="D301" s="55" t="s">
        <v>143</v>
      </c>
      <c r="E301" s="155">
        <f>3099200240</f>
        <v>3099200240</v>
      </c>
      <c r="F301" s="199" t="s">
        <v>716</v>
      </c>
      <c r="G301" s="198">
        <v>43237</v>
      </c>
      <c r="H301" s="845">
        <v>2456948393</v>
      </c>
      <c r="I301" s="74">
        <f>141.7/111.82</f>
        <v>1.2672151672330532</v>
      </c>
      <c r="J301" s="76" t="s">
        <v>284</v>
      </c>
      <c r="K301" s="156">
        <f>+E301/I301</f>
        <v>2445677987.5568099</v>
      </c>
      <c r="L301" s="173" t="s">
        <v>218</v>
      </c>
      <c r="M301" s="54" t="s">
        <v>981</v>
      </c>
      <c r="N301" s="203" t="s">
        <v>980</v>
      </c>
      <c r="O301" s="181"/>
      <c r="P301" s="181"/>
      <c r="Q301" s="181"/>
    </row>
    <row r="302" spans="1:18" ht="14.25" x14ac:dyDescent="0.2">
      <c r="A302" s="178"/>
      <c r="B302" s="355" t="s">
        <v>149</v>
      </c>
      <c r="C302" s="348" t="s">
        <v>710</v>
      </c>
      <c r="D302" s="55" t="s">
        <v>143</v>
      </c>
      <c r="E302" s="155">
        <v>14282029</v>
      </c>
      <c r="F302" s="199" t="s">
        <v>716</v>
      </c>
      <c r="G302" s="198">
        <v>43237</v>
      </c>
      <c r="H302" s="846"/>
      <c r="I302" s="74">
        <f>141.7/111.82</f>
        <v>1.2672151672330532</v>
      </c>
      <c r="J302" s="76" t="s">
        <v>284</v>
      </c>
      <c r="K302" s="156">
        <f>+E302/I302</f>
        <v>11270405.665349329</v>
      </c>
      <c r="L302" s="173"/>
      <c r="M302" s="54" t="s">
        <v>979</v>
      </c>
      <c r="O302" s="181"/>
      <c r="P302" s="181"/>
      <c r="Q302" s="181"/>
    </row>
    <row r="303" spans="1:18" ht="14.25" x14ac:dyDescent="0.2">
      <c r="A303" s="178" t="s">
        <v>534</v>
      </c>
      <c r="B303" s="355" t="s">
        <v>150</v>
      </c>
      <c r="C303" s="348" t="s">
        <v>710</v>
      </c>
      <c r="D303" s="55" t="s">
        <v>143</v>
      </c>
      <c r="E303" s="155">
        <v>3113482269</v>
      </c>
      <c r="F303" s="199" t="s">
        <v>717</v>
      </c>
      <c r="G303" s="198">
        <v>43249</v>
      </c>
      <c r="H303" s="202">
        <v>2456948393</v>
      </c>
      <c r="I303" s="74">
        <f>141.7/111.82</f>
        <v>1.2672151672330532</v>
      </c>
      <c r="J303" s="76" t="s">
        <v>285</v>
      </c>
      <c r="K303" s="156">
        <f>+E303/I303</f>
        <v>2456948393.2221594</v>
      </c>
      <c r="L303" s="173" t="s">
        <v>218</v>
      </c>
      <c r="M303" s="54" t="s">
        <v>978</v>
      </c>
      <c r="O303" s="181"/>
      <c r="P303" s="181"/>
      <c r="Q303" s="181"/>
    </row>
    <row r="304" spans="1:18" ht="14.25" x14ac:dyDescent="0.2">
      <c r="A304" s="178" t="s">
        <v>534</v>
      </c>
      <c r="B304" s="355" t="s">
        <v>151</v>
      </c>
      <c r="C304" s="348" t="s">
        <v>710</v>
      </c>
      <c r="D304" s="55" t="s">
        <v>143</v>
      </c>
      <c r="E304" s="155">
        <v>3126226233</v>
      </c>
      <c r="F304" s="199" t="s">
        <v>718</v>
      </c>
      <c r="G304" s="198">
        <v>43305</v>
      </c>
      <c r="H304" s="202">
        <v>2456948393</v>
      </c>
      <c r="I304" s="74">
        <f>142.28/111.82</f>
        <v>1.272402074763012</v>
      </c>
      <c r="J304" s="76" t="s">
        <v>302</v>
      </c>
      <c r="K304" s="156">
        <f>+E304/I304</f>
        <v>2456948393.1266518</v>
      </c>
      <c r="L304" s="173" t="s">
        <v>243</v>
      </c>
      <c r="M304" s="54" t="s">
        <v>977</v>
      </c>
      <c r="O304" s="181"/>
      <c r="P304" s="181"/>
      <c r="Q304" s="181"/>
    </row>
    <row r="305" spans="1:17" ht="14.25" x14ac:dyDescent="0.2">
      <c r="A305" s="178" t="s">
        <v>534</v>
      </c>
      <c r="B305" s="355" t="s">
        <v>179</v>
      </c>
      <c r="C305" s="348" t="s">
        <v>710</v>
      </c>
      <c r="D305" s="55" t="s">
        <v>143</v>
      </c>
      <c r="E305" s="155">
        <v>3126226233</v>
      </c>
      <c r="F305" s="199" t="s">
        <v>719</v>
      </c>
      <c r="G305" s="198">
        <v>43313</v>
      </c>
      <c r="H305" s="202">
        <v>2456948393</v>
      </c>
      <c r="I305" s="74">
        <f>142.28/111.82</f>
        <v>1.272402074763012</v>
      </c>
      <c r="J305" s="76" t="s">
        <v>302</v>
      </c>
      <c r="K305" s="156">
        <f>+E305/I305</f>
        <v>2456948393.1266518</v>
      </c>
      <c r="L305" s="173" t="s">
        <v>218</v>
      </c>
      <c r="M305" s="54" t="s">
        <v>976</v>
      </c>
      <c r="O305" s="181"/>
      <c r="P305" s="181"/>
      <c r="Q305" s="181"/>
    </row>
    <row r="306" spans="1:17" ht="28.5" x14ac:dyDescent="0.2">
      <c r="A306" s="178" t="s">
        <v>534</v>
      </c>
      <c r="B306" s="146" t="s">
        <v>180</v>
      </c>
      <c r="C306" s="147" t="s">
        <v>710</v>
      </c>
      <c r="D306" s="58" t="s">
        <v>143</v>
      </c>
      <c r="E306" s="156">
        <v>3122051486</v>
      </c>
      <c r="F306" s="149" t="s">
        <v>720</v>
      </c>
      <c r="G306" s="196">
        <v>43353</v>
      </c>
      <c r="H306" s="202">
        <v>2456948393</v>
      </c>
      <c r="I306" s="74">
        <f>142.27/111.82</f>
        <v>1.2723126453228404</v>
      </c>
      <c r="J306" s="76" t="s">
        <v>310</v>
      </c>
      <c r="K306" s="156">
        <f>+E306/I306</f>
        <v>2453839861.9843955</v>
      </c>
      <c r="L306" s="173" t="s">
        <v>721</v>
      </c>
      <c r="M306" s="54" t="s">
        <v>975</v>
      </c>
      <c r="O306" s="181"/>
      <c r="P306" s="181"/>
      <c r="Q306" s="181"/>
    </row>
    <row r="307" spans="1:17" ht="14.25" x14ac:dyDescent="0.2">
      <c r="A307" s="178" t="s">
        <v>534</v>
      </c>
      <c r="B307" s="355" t="s">
        <v>181</v>
      </c>
      <c r="C307" s="348" t="s">
        <v>710</v>
      </c>
      <c r="D307" s="55" t="s">
        <v>143</v>
      </c>
      <c r="E307" s="155">
        <v>3131060150</v>
      </c>
      <c r="F307" s="199" t="s">
        <v>722</v>
      </c>
      <c r="G307" s="198">
        <v>43384</v>
      </c>
      <c r="H307" s="202">
        <v>2456948393</v>
      </c>
      <c r="I307" s="74">
        <f>142.5/111.82</f>
        <v>1.2743695224467895</v>
      </c>
      <c r="J307" s="76" t="s">
        <v>317</v>
      </c>
      <c r="K307" s="156">
        <f>+E307/I307</f>
        <v>2456948392.7929826</v>
      </c>
      <c r="L307" s="173" t="s">
        <v>218</v>
      </c>
      <c r="M307" s="54" t="s">
        <v>974</v>
      </c>
      <c r="O307" s="181"/>
      <c r="P307" s="181"/>
      <c r="Q307" s="181"/>
    </row>
    <row r="308" spans="1:17" ht="14.25" x14ac:dyDescent="0.2">
      <c r="A308" s="178" t="s">
        <v>534</v>
      </c>
      <c r="B308" s="355" t="s">
        <v>182</v>
      </c>
      <c r="C308" s="348" t="s">
        <v>710</v>
      </c>
      <c r="D308" s="55" t="s">
        <v>143</v>
      </c>
      <c r="E308" s="155">
        <v>3131060150</v>
      </c>
      <c r="F308" s="199" t="s">
        <v>723</v>
      </c>
      <c r="G308" s="198">
        <v>43384</v>
      </c>
      <c r="H308" s="202">
        <v>2456948393</v>
      </c>
      <c r="I308" s="74">
        <f>142.5/111.82</f>
        <v>1.2743695224467895</v>
      </c>
      <c r="J308" s="76" t="s">
        <v>317</v>
      </c>
      <c r="K308" s="156">
        <f>+E308/I308</f>
        <v>2456948392.7929826</v>
      </c>
      <c r="L308" s="173" t="s">
        <v>218</v>
      </c>
      <c r="M308" s="54" t="s">
        <v>974</v>
      </c>
      <c r="O308" s="181"/>
      <c r="P308" s="181"/>
      <c r="Q308" s="181"/>
    </row>
    <row r="309" spans="1:17" ht="14.25" x14ac:dyDescent="0.2">
      <c r="A309" s="178" t="s">
        <v>534</v>
      </c>
      <c r="B309" s="355"/>
      <c r="C309" s="348" t="s">
        <v>710</v>
      </c>
      <c r="D309" s="55" t="s">
        <v>143</v>
      </c>
      <c r="E309" s="155">
        <v>4008101</v>
      </c>
      <c r="F309" s="199" t="s">
        <v>323</v>
      </c>
      <c r="G309" s="198">
        <v>43431</v>
      </c>
      <c r="H309" s="202"/>
      <c r="I309" s="74">
        <f>142.5/111.82</f>
        <v>1.2743695224467895</v>
      </c>
      <c r="J309" s="76" t="s">
        <v>324</v>
      </c>
      <c r="K309" s="156">
        <f>+E309/I309</f>
        <v>3145163.8864561403</v>
      </c>
      <c r="L309" s="173" t="s">
        <v>325</v>
      </c>
      <c r="M309" s="54" t="s">
        <v>972</v>
      </c>
      <c r="N309" s="170" t="s">
        <v>973</v>
      </c>
      <c r="O309" s="181"/>
      <c r="P309" s="181"/>
      <c r="Q309" s="181"/>
    </row>
    <row r="310" spans="1:17" ht="14.25" x14ac:dyDescent="0.2">
      <c r="A310" s="178" t="s">
        <v>534</v>
      </c>
      <c r="B310" s="355" t="s">
        <v>183</v>
      </c>
      <c r="C310" s="348" t="s">
        <v>710</v>
      </c>
      <c r="D310" s="55" t="s">
        <v>143</v>
      </c>
      <c r="E310" s="155">
        <v>3134795450</v>
      </c>
      <c r="F310" s="199" t="s">
        <v>724</v>
      </c>
      <c r="G310" s="198">
        <v>43432</v>
      </c>
      <c r="H310" s="202">
        <v>2456948393</v>
      </c>
      <c r="I310" s="74">
        <f>142.67/111.82</f>
        <v>1.2758898229297084</v>
      </c>
      <c r="J310" s="76" t="s">
        <v>324</v>
      </c>
      <c r="K310" s="156">
        <f>+E310/I310</f>
        <v>2456948392.9277353</v>
      </c>
      <c r="L310" s="173" t="s">
        <v>218</v>
      </c>
      <c r="M310" s="54" t="s">
        <v>972</v>
      </c>
      <c r="N310" s="203" t="s">
        <v>971</v>
      </c>
      <c r="O310" s="181"/>
      <c r="P310" s="181"/>
      <c r="Q310" s="181"/>
    </row>
    <row r="311" spans="1:17" ht="14.25" x14ac:dyDescent="0.2">
      <c r="A311" s="178" t="s">
        <v>534</v>
      </c>
      <c r="B311" s="355" t="s">
        <v>184</v>
      </c>
      <c r="C311" s="348" t="s">
        <v>710</v>
      </c>
      <c r="D311" s="55" t="s">
        <v>143</v>
      </c>
      <c r="E311" s="155">
        <v>3138530750</v>
      </c>
      <c r="F311" s="199" t="s">
        <v>725</v>
      </c>
      <c r="G311" s="198">
        <v>43444</v>
      </c>
      <c r="H311" s="202">
        <v>2456948393</v>
      </c>
      <c r="I311" s="74">
        <f>142.84/111.82</f>
        <v>1.2774101234126276</v>
      </c>
      <c r="J311" s="76" t="s">
        <v>326</v>
      </c>
      <c r="K311" s="156">
        <f>+E311/I311</f>
        <v>2456948393.0621672</v>
      </c>
      <c r="L311" s="173" t="s">
        <v>218</v>
      </c>
      <c r="M311" s="54" t="s">
        <v>970</v>
      </c>
      <c r="O311" s="181"/>
      <c r="P311" s="181"/>
      <c r="Q311" s="181"/>
    </row>
    <row r="312" spans="1:17" ht="14.25" x14ac:dyDescent="0.2">
      <c r="A312" s="178" t="s">
        <v>534</v>
      </c>
      <c r="B312" s="355" t="s">
        <v>186</v>
      </c>
      <c r="C312" s="348" t="s">
        <v>710</v>
      </c>
      <c r="D312" s="55" t="s">
        <v>143</v>
      </c>
      <c r="E312" s="155">
        <v>3138530750</v>
      </c>
      <c r="F312" s="199" t="s">
        <v>726</v>
      </c>
      <c r="G312" s="198">
        <v>43444</v>
      </c>
      <c r="H312" s="202">
        <v>2456948393</v>
      </c>
      <c r="I312" s="74">
        <f>142.84/111.82</f>
        <v>1.2774101234126276</v>
      </c>
      <c r="J312" s="76" t="s">
        <v>326</v>
      </c>
      <c r="K312" s="156">
        <f>+E312/I312</f>
        <v>2456948393.0621672</v>
      </c>
      <c r="L312" s="173" t="s">
        <v>218</v>
      </c>
      <c r="M312" s="54" t="s">
        <v>970</v>
      </c>
      <c r="O312" s="181"/>
      <c r="P312" s="181"/>
      <c r="Q312" s="181"/>
    </row>
    <row r="313" spans="1:17" ht="14.25" x14ac:dyDescent="0.2">
      <c r="A313" s="178" t="s">
        <v>534</v>
      </c>
      <c r="B313" s="355" t="s">
        <v>188</v>
      </c>
      <c r="C313" s="348" t="s">
        <v>710</v>
      </c>
      <c r="D313" s="55" t="s">
        <v>143</v>
      </c>
      <c r="E313" s="155">
        <v>3166875084</v>
      </c>
      <c r="F313" s="199" t="s">
        <v>727</v>
      </c>
      <c r="G313" s="198">
        <v>43507</v>
      </c>
      <c r="H313" s="202">
        <v>2456948393</v>
      </c>
      <c r="I313" s="74">
        <f>100.6/78.05</f>
        <v>1.2889173606662396</v>
      </c>
      <c r="J313" s="76" t="s">
        <v>338</v>
      </c>
      <c r="K313" s="156">
        <f>+E313/I313</f>
        <v>2457003979.1868787</v>
      </c>
      <c r="L313" s="173" t="s">
        <v>218</v>
      </c>
      <c r="M313" s="54" t="s">
        <v>969</v>
      </c>
      <c r="O313" s="181"/>
      <c r="P313" s="181"/>
      <c r="Q313" s="181"/>
    </row>
    <row r="314" spans="1:17" ht="14.25" x14ac:dyDescent="0.2">
      <c r="A314" s="178" t="s">
        <v>534</v>
      </c>
      <c r="B314" s="355" t="s">
        <v>190</v>
      </c>
      <c r="C314" s="348" t="s">
        <v>710</v>
      </c>
      <c r="D314" s="55" t="s">
        <v>143</v>
      </c>
      <c r="E314" s="155">
        <v>7000000000</v>
      </c>
      <c r="F314" s="199" t="s">
        <v>728</v>
      </c>
      <c r="G314" s="198">
        <v>43550</v>
      </c>
      <c r="H314" s="202">
        <v>2456948393</v>
      </c>
      <c r="I314" s="74">
        <f>101.18/78.05</f>
        <v>1.2963484945547727</v>
      </c>
      <c r="J314" s="76" t="s">
        <v>345</v>
      </c>
      <c r="K314" s="156">
        <f>+E314/I314</f>
        <v>5399782565.7244511</v>
      </c>
      <c r="L314" s="173" t="s">
        <v>346</v>
      </c>
      <c r="M314" s="54" t="s">
        <v>968</v>
      </c>
      <c r="O314" s="181"/>
      <c r="P314" s="181"/>
      <c r="Q314" s="181"/>
    </row>
    <row r="315" spans="1:17" ht="15" x14ac:dyDescent="0.2">
      <c r="A315" s="178" t="s">
        <v>534</v>
      </c>
      <c r="B315" s="355" t="s">
        <v>192</v>
      </c>
      <c r="C315" s="348" t="s">
        <v>710</v>
      </c>
      <c r="D315" s="55" t="s">
        <v>143</v>
      </c>
      <c r="E315" s="200"/>
      <c r="F315" s="199" t="s">
        <v>729</v>
      </c>
      <c r="G315" s="198"/>
      <c r="H315" s="202">
        <v>2456948393</v>
      </c>
      <c r="I315" s="74">
        <f>101.18/78.05</f>
        <v>1.2963484945547727</v>
      </c>
      <c r="J315" s="76"/>
      <c r="K315" s="156"/>
      <c r="L315" s="201" t="s">
        <v>402</v>
      </c>
      <c r="M315" s="54"/>
      <c r="O315" s="181"/>
      <c r="P315" s="181"/>
      <c r="Q315" s="181"/>
    </row>
    <row r="316" spans="1:17" ht="15" x14ac:dyDescent="0.2">
      <c r="A316" s="178" t="s">
        <v>534</v>
      </c>
      <c r="B316" s="355" t="s">
        <v>246</v>
      </c>
      <c r="C316" s="348" t="s">
        <v>710</v>
      </c>
      <c r="D316" s="55" t="s">
        <v>143</v>
      </c>
      <c r="E316" s="200"/>
      <c r="F316" s="199" t="s">
        <v>730</v>
      </c>
      <c r="G316" s="198"/>
      <c r="H316" s="197">
        <v>1455974867</v>
      </c>
      <c r="I316" s="74">
        <f>101.18/78.05</f>
        <v>1.2963484945547727</v>
      </c>
      <c r="J316" s="76"/>
      <c r="K316" s="156"/>
      <c r="L316" s="201" t="s">
        <v>402</v>
      </c>
      <c r="M316" s="54"/>
      <c r="O316" s="181"/>
      <c r="P316" s="181"/>
      <c r="Q316" s="181"/>
    </row>
    <row r="317" spans="1:17" ht="15" x14ac:dyDescent="0.2">
      <c r="A317" s="178" t="s">
        <v>534</v>
      </c>
      <c r="B317" s="355" t="s">
        <v>247</v>
      </c>
      <c r="C317" s="348" t="s">
        <v>710</v>
      </c>
      <c r="D317" s="55" t="s">
        <v>143</v>
      </c>
      <c r="E317" s="200">
        <v>6309098263</v>
      </c>
      <c r="F317" s="199" t="s">
        <v>731</v>
      </c>
      <c r="G317" s="198">
        <v>43612</v>
      </c>
      <c r="H317" s="197">
        <v>1455974867</v>
      </c>
      <c r="I317" s="74">
        <f>102.12/78.05</f>
        <v>1.3083920563741192</v>
      </c>
      <c r="J317" s="76" t="s">
        <v>401</v>
      </c>
      <c r="K317" s="156">
        <f>+E317/I317</f>
        <v>4822024279.5451431</v>
      </c>
      <c r="L317" s="173" t="s">
        <v>421</v>
      </c>
      <c r="M317" s="54"/>
      <c r="N317" s="170" t="s">
        <v>967</v>
      </c>
      <c r="O317" s="181"/>
      <c r="P317" s="181"/>
      <c r="Q317" s="181"/>
    </row>
    <row r="318" spans="1:17" ht="15" x14ac:dyDescent="0.2">
      <c r="A318" s="178" t="s">
        <v>534</v>
      </c>
      <c r="B318" s="355" t="s">
        <v>248</v>
      </c>
      <c r="C318" s="348" t="s">
        <v>710</v>
      </c>
      <c r="D318" s="55" t="s">
        <v>143</v>
      </c>
      <c r="E318" s="200"/>
      <c r="F318" s="199" t="s">
        <v>732</v>
      </c>
      <c r="G318" s="198"/>
      <c r="H318" s="197">
        <v>1455974867</v>
      </c>
      <c r="I318" s="74"/>
      <c r="J318" s="76"/>
      <c r="K318" s="156"/>
      <c r="L318" s="173" t="s">
        <v>218</v>
      </c>
      <c r="M318" s="54"/>
      <c r="O318" s="181"/>
      <c r="P318" s="181"/>
      <c r="Q318" s="181"/>
    </row>
    <row r="319" spans="1:17" ht="15" x14ac:dyDescent="0.2">
      <c r="A319" s="178" t="s">
        <v>534</v>
      </c>
      <c r="B319" s="355" t="s">
        <v>249</v>
      </c>
      <c r="C319" s="348" t="s">
        <v>710</v>
      </c>
      <c r="D319" s="55" t="s">
        <v>143</v>
      </c>
      <c r="E319" s="200"/>
      <c r="F319" s="199" t="s">
        <v>733</v>
      </c>
      <c r="G319" s="198"/>
      <c r="H319" s="197">
        <v>1455974867</v>
      </c>
      <c r="I319" s="74"/>
      <c r="J319" s="76"/>
      <c r="K319" s="156"/>
      <c r="L319" s="173" t="s">
        <v>218</v>
      </c>
      <c r="M319" s="54"/>
      <c r="O319" s="181"/>
      <c r="P319" s="181"/>
      <c r="Q319" s="181"/>
    </row>
    <row r="320" spans="1:17" ht="15" x14ac:dyDescent="0.25">
      <c r="A320" s="178" t="s">
        <v>534</v>
      </c>
      <c r="B320" s="146" t="s">
        <v>250</v>
      </c>
      <c r="C320" s="147" t="s">
        <v>710</v>
      </c>
      <c r="D320" s="58" t="s">
        <v>143</v>
      </c>
      <c r="E320" s="148">
        <v>2643821720</v>
      </c>
      <c r="F320" s="149" t="s">
        <v>734</v>
      </c>
      <c r="G320" s="196">
        <v>43650</v>
      </c>
      <c r="H320" s="195">
        <v>1455974867</v>
      </c>
      <c r="I320" s="74">
        <f>102.44/78.05</f>
        <v>1.3124919923126201</v>
      </c>
      <c r="J320" s="76" t="s">
        <v>422</v>
      </c>
      <c r="K320" s="156">
        <f>+E320/I320</f>
        <v>2014352647.8524013</v>
      </c>
      <c r="L320" s="194" t="s">
        <v>423</v>
      </c>
      <c r="M320" s="54" t="s">
        <v>966</v>
      </c>
      <c r="O320" s="181"/>
      <c r="P320" s="181"/>
      <c r="Q320" s="181"/>
    </row>
    <row r="321" spans="1:18" ht="15" x14ac:dyDescent="0.25">
      <c r="A321" s="178" t="s">
        <v>534</v>
      </c>
      <c r="B321" s="146" t="s">
        <v>838</v>
      </c>
      <c r="C321" s="147" t="s">
        <v>710</v>
      </c>
      <c r="D321" s="58" t="s">
        <v>143</v>
      </c>
      <c r="E321" s="148">
        <v>9754517</v>
      </c>
      <c r="F321" s="149" t="s">
        <v>734</v>
      </c>
      <c r="G321" s="196">
        <v>43658</v>
      </c>
      <c r="H321" s="195"/>
      <c r="I321" s="74">
        <f>102.71/78.05</f>
        <v>1.3159513132607303</v>
      </c>
      <c r="J321" s="76" t="s">
        <v>424</v>
      </c>
      <c r="K321" s="156">
        <f>+E321/I321</f>
        <v>7412521.194138837</v>
      </c>
      <c r="L321" s="194" t="s">
        <v>425</v>
      </c>
      <c r="M321" s="54" t="s">
        <v>965</v>
      </c>
      <c r="O321" s="181"/>
      <c r="P321" s="181"/>
      <c r="Q321" s="181"/>
    </row>
    <row r="322" spans="1:18" ht="26.25" x14ac:dyDescent="0.25">
      <c r="A322" s="337" t="s">
        <v>534</v>
      </c>
      <c r="B322" s="336" t="s">
        <v>838</v>
      </c>
      <c r="C322" s="335" t="s">
        <v>710</v>
      </c>
      <c r="D322" s="334" t="s">
        <v>143</v>
      </c>
      <c r="E322" s="333">
        <v>3518806545</v>
      </c>
      <c r="F322" s="332"/>
      <c r="G322" s="331">
        <v>43916</v>
      </c>
      <c r="H322" s="330"/>
      <c r="I322" s="329">
        <f>104.94/78.05</f>
        <v>1.3445227418321588</v>
      </c>
      <c r="J322" s="328" t="s">
        <v>735</v>
      </c>
      <c r="K322" s="327">
        <f>+E322/I322</f>
        <v>2617141707.9974275</v>
      </c>
      <c r="L322" s="326"/>
      <c r="M322" s="325" t="s">
        <v>964</v>
      </c>
      <c r="N322" s="324" t="s">
        <v>1110</v>
      </c>
      <c r="O322" s="181"/>
      <c r="P322" s="181"/>
      <c r="Q322" s="181"/>
    </row>
    <row r="323" spans="1:18" ht="26.25" x14ac:dyDescent="0.25">
      <c r="A323" s="337" t="s">
        <v>534</v>
      </c>
      <c r="B323" s="336" t="s">
        <v>838</v>
      </c>
      <c r="C323" s="335" t="s">
        <v>710</v>
      </c>
      <c r="D323" s="334" t="s">
        <v>143</v>
      </c>
      <c r="E323" s="333">
        <v>-3518806545</v>
      </c>
      <c r="F323" s="332"/>
      <c r="G323" s="331">
        <v>43916</v>
      </c>
      <c r="H323" s="330"/>
      <c r="I323" s="329">
        <f>104.94/78.05</f>
        <v>1.3445227418321588</v>
      </c>
      <c r="J323" s="328" t="s">
        <v>735</v>
      </c>
      <c r="K323" s="327">
        <f>+E323/I323</f>
        <v>-2617141707.9974275</v>
      </c>
      <c r="L323" s="326"/>
      <c r="M323" s="325" t="s">
        <v>964</v>
      </c>
      <c r="N323" s="324" t="s">
        <v>1110</v>
      </c>
      <c r="O323" s="181"/>
      <c r="P323" s="181"/>
      <c r="Q323" s="181"/>
    </row>
    <row r="324" spans="1:18" s="119" customFormat="1" x14ac:dyDescent="0.2">
      <c r="A324" s="178" t="s">
        <v>534</v>
      </c>
      <c r="B324" s="150" t="s">
        <v>426</v>
      </c>
      <c r="C324" s="151"/>
      <c r="D324" s="122"/>
      <c r="E324" s="152">
        <f>SUM(E295:E323)</f>
        <v>65730763874</v>
      </c>
      <c r="F324" s="153"/>
      <c r="G324" s="193"/>
      <c r="H324" s="192">
        <f>SUM(H295:H321)</f>
        <v>51504945409</v>
      </c>
      <c r="I324" s="123"/>
      <c r="J324" s="124"/>
      <c r="K324" s="191">
        <f>SUM(K295:K323)</f>
        <v>51554838521.714149</v>
      </c>
      <c r="L324" s="190">
        <f>+K324-H324</f>
        <v>49893112.714149475</v>
      </c>
      <c r="M324" s="189"/>
      <c r="O324" s="57"/>
      <c r="P324" s="57"/>
      <c r="Q324" s="57"/>
      <c r="R324" s="57"/>
    </row>
    <row r="325" spans="1:18" x14ac:dyDescent="0.2">
      <c r="A325" s="178" t="s">
        <v>534</v>
      </c>
      <c r="B325" s="188"/>
      <c r="C325" s="188"/>
      <c r="D325" s="54"/>
      <c r="E325" s="54"/>
      <c r="F325" s="54"/>
      <c r="G325" s="187"/>
      <c r="H325" s="186"/>
      <c r="I325" s="54"/>
      <c r="J325" s="54"/>
      <c r="K325" s="54"/>
      <c r="L325" s="54"/>
      <c r="M325" s="54"/>
    </row>
    <row r="326" spans="1:18" s="180" customFormat="1" ht="15" x14ac:dyDescent="0.25">
      <c r="A326" s="180" t="s">
        <v>479</v>
      </c>
      <c r="B326" s="356" t="s">
        <v>332</v>
      </c>
      <c r="C326" s="356"/>
      <c r="D326" s="356"/>
      <c r="E326" s="356"/>
      <c r="F326" s="356"/>
      <c r="G326" s="185"/>
      <c r="H326" s="356"/>
      <c r="I326" s="356"/>
      <c r="J326" s="356"/>
      <c r="K326" s="356"/>
      <c r="L326" s="356"/>
      <c r="M326" s="182"/>
      <c r="O326" s="181"/>
      <c r="P326" s="181"/>
      <c r="Q326" s="181"/>
      <c r="R326" s="181"/>
    </row>
    <row r="327" spans="1:18" s="180" customFormat="1" ht="15" x14ac:dyDescent="0.25">
      <c r="A327" s="184" t="s">
        <v>534</v>
      </c>
      <c r="B327" s="141" t="s">
        <v>130</v>
      </c>
      <c r="C327" s="142" t="s">
        <v>131</v>
      </c>
      <c r="D327" s="142" t="s">
        <v>132</v>
      </c>
      <c r="E327" s="842" t="s">
        <v>133</v>
      </c>
      <c r="F327" s="843"/>
      <c r="G327" s="842" t="s">
        <v>134</v>
      </c>
      <c r="H327" s="844"/>
      <c r="I327" s="844"/>
      <c r="J327" s="844"/>
      <c r="K327" s="843"/>
      <c r="L327" s="143" t="s">
        <v>97</v>
      </c>
      <c r="M327" s="143" t="s">
        <v>837</v>
      </c>
      <c r="O327" s="181"/>
      <c r="P327" s="181"/>
      <c r="Q327" s="181"/>
      <c r="R327" s="181"/>
    </row>
    <row r="328" spans="1:18" s="180" customFormat="1" ht="45" x14ac:dyDescent="0.25">
      <c r="A328" s="184" t="s">
        <v>534</v>
      </c>
      <c r="B328" s="141"/>
      <c r="C328" s="142"/>
      <c r="D328" s="142"/>
      <c r="E328" s="144" t="s">
        <v>135</v>
      </c>
      <c r="F328" s="144" t="s">
        <v>136</v>
      </c>
      <c r="G328" s="183" t="s">
        <v>619</v>
      </c>
      <c r="H328" s="144" t="s">
        <v>137</v>
      </c>
      <c r="I328" s="144" t="s">
        <v>138</v>
      </c>
      <c r="J328" s="144" t="s">
        <v>139</v>
      </c>
      <c r="K328" s="144" t="s">
        <v>140</v>
      </c>
      <c r="L328" s="143"/>
      <c r="M328" s="182"/>
      <c r="O328" s="181"/>
      <c r="P328" s="181"/>
      <c r="Q328" s="181"/>
      <c r="R328" s="181"/>
    </row>
    <row r="329" spans="1:18" ht="28.5" x14ac:dyDescent="0.2">
      <c r="A329" s="178" t="s">
        <v>534</v>
      </c>
      <c r="B329" s="355" t="s">
        <v>836</v>
      </c>
      <c r="C329" s="157" t="s">
        <v>736</v>
      </c>
      <c r="D329" s="55" t="s">
        <v>143</v>
      </c>
      <c r="E329" s="140">
        <v>13016958191</v>
      </c>
      <c r="F329" s="177">
        <v>43465</v>
      </c>
      <c r="G329" s="179">
        <v>43462</v>
      </c>
      <c r="H329" s="175">
        <v>10214287467</v>
      </c>
      <c r="I329" s="78">
        <f>142.84/111.82</f>
        <v>1.2774101234126276</v>
      </c>
      <c r="J329" s="79" t="s">
        <v>333</v>
      </c>
      <c r="K329" s="50">
        <f>+E329/I329</f>
        <v>10190116668.42355</v>
      </c>
      <c r="L329" s="173" t="s">
        <v>737</v>
      </c>
      <c r="M329" s="54"/>
    </row>
    <row r="330" spans="1:18" ht="15" x14ac:dyDescent="0.2">
      <c r="A330" s="178" t="s">
        <v>534</v>
      </c>
      <c r="B330" s="355"/>
      <c r="C330" s="158" t="s">
        <v>736</v>
      </c>
      <c r="D330" s="55" t="s">
        <v>143</v>
      </c>
      <c r="E330" s="140">
        <v>30876023</v>
      </c>
      <c r="F330" s="177">
        <v>43465</v>
      </c>
      <c r="G330" s="179">
        <v>43469</v>
      </c>
      <c r="H330" s="175"/>
      <c r="I330" s="78">
        <f>142.84/111.82</f>
        <v>1.2774101234126276</v>
      </c>
      <c r="J330" s="79" t="s">
        <v>333</v>
      </c>
      <c r="K330" s="50">
        <f>+E330/I330</f>
        <v>24170798.738868661</v>
      </c>
      <c r="L330" s="173" t="s">
        <v>243</v>
      </c>
      <c r="M330" s="54"/>
    </row>
    <row r="331" spans="1:18" ht="15" x14ac:dyDescent="0.2">
      <c r="A331" s="178" t="s">
        <v>534</v>
      </c>
      <c r="B331" s="355" t="s">
        <v>835</v>
      </c>
      <c r="C331" s="158" t="s">
        <v>736</v>
      </c>
      <c r="D331" s="55" t="s">
        <v>143</v>
      </c>
      <c r="E331" s="140">
        <v>55856315730</v>
      </c>
      <c r="F331" s="177">
        <v>43830</v>
      </c>
      <c r="G331" s="176">
        <v>43829</v>
      </c>
      <c r="H331" s="175">
        <v>42105325891</v>
      </c>
      <c r="I331" s="86">
        <f>103.54/78.05</f>
        <v>1.3265855221012173</v>
      </c>
      <c r="J331" s="87" t="s">
        <v>480</v>
      </c>
      <c r="K331" s="174">
        <f>+E331/I331</f>
        <v>42105325890.733047</v>
      </c>
      <c r="L331" s="173" t="s">
        <v>481</v>
      </c>
      <c r="M331" s="54" t="s">
        <v>963</v>
      </c>
    </row>
    <row r="333" spans="1:18" ht="13.5" thickBot="1" x14ac:dyDescent="0.25"/>
    <row r="334" spans="1:18" ht="13.5" thickBot="1" x14ac:dyDescent="0.25">
      <c r="H334" s="323">
        <v>51504945409</v>
      </c>
      <c r="I334" s="322"/>
    </row>
    <row r="336" spans="1:18" x14ac:dyDescent="0.2">
      <c r="H336" s="321">
        <f>+H324-H334</f>
        <v>0</v>
      </c>
    </row>
  </sheetData>
  <autoFilter ref="A4:R185" xr:uid="{00000000-0009-0000-0000-000000000000}">
    <filterColumn colId="4" showButton="0"/>
    <filterColumn colId="6" showButton="0"/>
    <filterColumn colId="7" showButton="0"/>
    <filterColumn colId="8" showButton="0"/>
    <filterColumn colId="9" showButton="0"/>
  </autoFilter>
  <mergeCells count="36">
    <mergeCell ref="G283:K283"/>
    <mergeCell ref="H296:H297"/>
    <mergeCell ref="H301:H302"/>
    <mergeCell ref="E293:F293"/>
    <mergeCell ref="G293:K293"/>
    <mergeCell ref="G202:K202"/>
    <mergeCell ref="M214:M215"/>
    <mergeCell ref="O229:Q229"/>
    <mergeCell ref="E327:F327"/>
    <mergeCell ref="G327:K327"/>
    <mergeCell ref="E223:F223"/>
    <mergeCell ref="G223:K223"/>
    <mergeCell ref="E283:F283"/>
    <mergeCell ref="B2:L2"/>
    <mergeCell ref="E4:F4"/>
    <mergeCell ref="G4:K4"/>
    <mergeCell ref="E168:F168"/>
    <mergeCell ref="G168:K168"/>
    <mergeCell ref="F205:F206"/>
    <mergeCell ref="B205:B206"/>
    <mergeCell ref="B199:B200"/>
    <mergeCell ref="F199:F200"/>
    <mergeCell ref="H199:H200"/>
    <mergeCell ref="H190:H191"/>
    <mergeCell ref="H194:H195"/>
    <mergeCell ref="H205:H206"/>
    <mergeCell ref="L199:L200"/>
    <mergeCell ref="B266:B267"/>
    <mergeCell ref="H266:H267"/>
    <mergeCell ref="H182:H183"/>
    <mergeCell ref="B182:B183"/>
    <mergeCell ref="E188:F188"/>
    <mergeCell ref="G188:K188"/>
    <mergeCell ref="E202:F202"/>
    <mergeCell ref="B220:B221"/>
    <mergeCell ref="H220:H221"/>
  </mergeCells>
  <conditionalFormatting sqref="G1:G3 G215:G221 G190:G200 G170:G185 G133:G165 G204:G213 G285:G290 G329:G1048576 G295:G322 G225:G267 G114:G126 G6:G110 G324:G325 G270:G281 G128:G129">
    <cfRule type="cellIs" dxfId="9" priority="10" operator="greaterThan">
      <formula>44104</formula>
    </cfRule>
  </conditionalFormatting>
  <conditionalFormatting sqref="G214">
    <cfRule type="cellIs" dxfId="8" priority="9" operator="greaterThan">
      <formula>44104</formula>
    </cfRule>
  </conditionalFormatting>
  <conditionalFormatting sqref="G111">
    <cfRule type="cellIs" dxfId="7" priority="8" operator="greaterThan">
      <formula>44104</formula>
    </cfRule>
  </conditionalFormatting>
  <conditionalFormatting sqref="G112">
    <cfRule type="cellIs" dxfId="6" priority="7" operator="greaterThan">
      <formula>44104</formula>
    </cfRule>
  </conditionalFormatting>
  <conditionalFormatting sqref="G113">
    <cfRule type="cellIs" dxfId="5" priority="6" operator="greaterThan">
      <formula>44104</formula>
    </cfRule>
  </conditionalFormatting>
  <conditionalFormatting sqref="G323">
    <cfRule type="cellIs" dxfId="4" priority="5" operator="greaterThan">
      <formula>44104</formula>
    </cfRule>
  </conditionalFormatting>
  <conditionalFormatting sqref="G166">
    <cfRule type="cellIs" dxfId="3" priority="4" operator="greaterThan">
      <formula>44104</formula>
    </cfRule>
  </conditionalFormatting>
  <conditionalFormatting sqref="G269">
    <cfRule type="cellIs" dxfId="2" priority="3" operator="greaterThan">
      <formula>44104</formula>
    </cfRule>
  </conditionalFormatting>
  <conditionalFormatting sqref="G268">
    <cfRule type="cellIs" dxfId="1" priority="2" operator="greaterThan">
      <formula>44104</formula>
    </cfRule>
  </conditionalFormatting>
  <conditionalFormatting sqref="G127">
    <cfRule type="cellIs" dxfId="0" priority="1" operator="greaterThan">
      <formula>44104</formula>
    </cfRule>
  </conditionalFormatting>
  <hyperlinks>
    <hyperlink ref="K274" r:id="rId1" display="..\..\Varios\2019-10-07 Cálculos incumplimiento fondeo Ambiental.xlsx" xr:uid="{0128C8BF-76C8-4406-BC19-2BA3C616DF74}"/>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L56"/>
  <sheetViews>
    <sheetView topLeftCell="A34" zoomScale="85" zoomScaleNormal="85" workbookViewId="0">
      <selection activeCell="O39" sqref="O39"/>
    </sheetView>
  </sheetViews>
  <sheetFormatPr baseColWidth="10" defaultColWidth="11.5703125" defaultRowHeight="15" x14ac:dyDescent="0.25"/>
  <cols>
    <col min="1" max="16384" width="11.5703125" style="130"/>
  </cols>
  <sheetData>
    <row r="1" spans="2:12" x14ac:dyDescent="0.25">
      <c r="B1" s="865"/>
      <c r="C1" s="866"/>
      <c r="D1" s="867"/>
      <c r="E1" s="871" t="s">
        <v>252</v>
      </c>
      <c r="F1" s="871"/>
      <c r="G1" s="871"/>
      <c r="H1" s="871"/>
      <c r="I1" s="871"/>
      <c r="J1" s="871"/>
      <c r="K1" s="873"/>
      <c r="L1" s="874"/>
    </row>
    <row r="2" spans="2:12" x14ac:dyDescent="0.25">
      <c r="B2" s="868"/>
      <c r="C2" s="869"/>
      <c r="D2" s="870"/>
      <c r="E2" s="872"/>
      <c r="F2" s="872"/>
      <c r="G2" s="872"/>
      <c r="H2" s="872"/>
      <c r="I2" s="872"/>
      <c r="J2" s="872"/>
      <c r="K2" s="875"/>
      <c r="L2" s="876"/>
    </row>
    <row r="3" spans="2:12" x14ac:dyDescent="0.25">
      <c r="B3" s="868"/>
      <c r="C3" s="869"/>
      <c r="D3" s="870"/>
      <c r="E3" s="872"/>
      <c r="F3" s="872"/>
      <c r="G3" s="872"/>
      <c r="H3" s="872"/>
      <c r="I3" s="872"/>
      <c r="J3" s="872"/>
      <c r="K3" s="875"/>
      <c r="L3" s="876"/>
    </row>
    <row r="4" spans="2:12" x14ac:dyDescent="0.25">
      <c r="B4" s="868"/>
      <c r="C4" s="869"/>
      <c r="D4" s="870"/>
      <c r="E4" s="877" t="s">
        <v>1056</v>
      </c>
      <c r="F4" s="877"/>
      <c r="G4" s="877"/>
      <c r="H4" s="877"/>
      <c r="I4" s="877"/>
      <c r="J4" s="877"/>
      <c r="K4" s="875"/>
      <c r="L4" s="876"/>
    </row>
    <row r="5" spans="2:12" x14ac:dyDescent="0.25">
      <c r="B5" s="868"/>
      <c r="C5" s="869"/>
      <c r="D5" s="870"/>
      <c r="E5" s="878"/>
      <c r="F5" s="878"/>
      <c r="G5" s="878"/>
      <c r="H5" s="878"/>
      <c r="I5" s="879" t="s">
        <v>1057</v>
      </c>
      <c r="J5" s="880">
        <v>50</v>
      </c>
      <c r="K5" s="875"/>
      <c r="L5" s="876"/>
    </row>
    <row r="6" spans="2:12" ht="24" x14ac:dyDescent="0.25">
      <c r="B6" s="868"/>
      <c r="C6" s="869"/>
      <c r="D6" s="870"/>
      <c r="E6" s="341" t="s">
        <v>290</v>
      </c>
      <c r="F6" s="306">
        <v>44188</v>
      </c>
      <c r="G6" s="307" t="s">
        <v>291</v>
      </c>
      <c r="H6" s="306">
        <v>44195</v>
      </c>
      <c r="I6" s="879"/>
      <c r="J6" s="880"/>
      <c r="K6" s="881"/>
      <c r="L6" s="882"/>
    </row>
    <row r="7" spans="2:12" ht="24" x14ac:dyDescent="0.25">
      <c r="B7" s="883" t="s">
        <v>1058</v>
      </c>
      <c r="C7" s="883"/>
      <c r="D7" s="883"/>
      <c r="E7" s="883" t="s">
        <v>107</v>
      </c>
      <c r="F7" s="883"/>
      <c r="G7" s="883" t="s">
        <v>108</v>
      </c>
      <c r="H7" s="883"/>
      <c r="I7" s="340" t="s">
        <v>4</v>
      </c>
      <c r="J7" s="340" t="s">
        <v>2</v>
      </c>
      <c r="K7" s="884" t="s">
        <v>0</v>
      </c>
      <c r="L7" s="884"/>
    </row>
    <row r="8" spans="2:12" ht="24" x14ac:dyDescent="0.25">
      <c r="B8" s="885" t="s">
        <v>1059</v>
      </c>
      <c r="C8" s="885"/>
      <c r="D8" s="885"/>
      <c r="E8" s="883" t="s">
        <v>1060</v>
      </c>
      <c r="F8" s="883"/>
      <c r="G8" s="883" t="s">
        <v>1060</v>
      </c>
      <c r="H8" s="883"/>
      <c r="I8" s="297">
        <v>41944</v>
      </c>
      <c r="J8" s="340">
        <v>1</v>
      </c>
      <c r="K8" s="884" t="s">
        <v>292</v>
      </c>
      <c r="L8" s="884"/>
    </row>
    <row r="9" spans="2:12" x14ac:dyDescent="0.25">
      <c r="B9" s="886" t="s">
        <v>453</v>
      </c>
      <c r="C9" s="887"/>
      <c r="D9" s="887"/>
      <c r="E9" s="887"/>
      <c r="F9" s="887"/>
      <c r="G9" s="888"/>
      <c r="H9" s="886" t="s">
        <v>454</v>
      </c>
      <c r="I9" s="887"/>
      <c r="J9" s="887"/>
      <c r="K9" s="887"/>
      <c r="L9" s="888"/>
    </row>
    <row r="10" spans="2:12" x14ac:dyDescent="0.25">
      <c r="B10" s="886"/>
      <c r="C10" s="887"/>
      <c r="D10" s="887"/>
      <c r="E10" s="887"/>
      <c r="F10" s="887"/>
      <c r="G10" s="888"/>
      <c r="H10" s="886"/>
      <c r="I10" s="887"/>
      <c r="J10" s="887"/>
      <c r="K10" s="887"/>
      <c r="L10" s="888"/>
    </row>
    <row r="11" spans="2:12" x14ac:dyDescent="0.25">
      <c r="B11" s="886"/>
      <c r="C11" s="887"/>
      <c r="D11" s="887"/>
      <c r="E11" s="887"/>
      <c r="F11" s="887"/>
      <c r="G11" s="888"/>
      <c r="H11" s="886"/>
      <c r="I11" s="887"/>
      <c r="J11" s="887"/>
      <c r="K11" s="887"/>
      <c r="L11" s="888"/>
    </row>
    <row r="12" spans="2:12" x14ac:dyDescent="0.25">
      <c r="B12" s="886"/>
      <c r="C12" s="887"/>
      <c r="D12" s="887"/>
      <c r="E12" s="887"/>
      <c r="F12" s="887"/>
      <c r="G12" s="888"/>
      <c r="H12" s="886"/>
      <c r="I12" s="887"/>
      <c r="J12" s="887"/>
      <c r="K12" s="887"/>
      <c r="L12" s="888"/>
    </row>
    <row r="13" spans="2:12" x14ac:dyDescent="0.25">
      <c r="B13" s="886"/>
      <c r="C13" s="887"/>
      <c r="D13" s="887"/>
      <c r="E13" s="887"/>
      <c r="F13" s="887"/>
      <c r="G13" s="888"/>
      <c r="H13" s="886"/>
      <c r="I13" s="887"/>
      <c r="J13" s="887"/>
      <c r="K13" s="887"/>
      <c r="L13" s="888"/>
    </row>
    <row r="14" spans="2:12" x14ac:dyDescent="0.25">
      <c r="B14" s="886"/>
      <c r="C14" s="887"/>
      <c r="D14" s="887"/>
      <c r="E14" s="887"/>
      <c r="F14" s="887"/>
      <c r="G14" s="888"/>
      <c r="H14" s="886"/>
      <c r="I14" s="887"/>
      <c r="J14" s="887"/>
      <c r="K14" s="887"/>
      <c r="L14" s="888"/>
    </row>
    <row r="15" spans="2:12" x14ac:dyDescent="0.25">
      <c r="B15" s="886"/>
      <c r="C15" s="887"/>
      <c r="D15" s="887"/>
      <c r="E15" s="887"/>
      <c r="F15" s="887"/>
      <c r="G15" s="888"/>
      <c r="H15" s="886"/>
      <c r="I15" s="887"/>
      <c r="J15" s="887"/>
      <c r="K15" s="887"/>
      <c r="L15" s="888"/>
    </row>
    <row r="16" spans="2:12" x14ac:dyDescent="0.25">
      <c r="B16" s="886"/>
      <c r="C16" s="887"/>
      <c r="D16" s="887"/>
      <c r="E16" s="887"/>
      <c r="F16" s="887"/>
      <c r="G16" s="888"/>
      <c r="H16" s="886"/>
      <c r="I16" s="887"/>
      <c r="J16" s="887"/>
      <c r="K16" s="887"/>
      <c r="L16" s="888"/>
    </row>
    <row r="17" spans="2:12" x14ac:dyDescent="0.25">
      <c r="B17" s="886"/>
      <c r="C17" s="887"/>
      <c r="D17" s="887"/>
      <c r="E17" s="887"/>
      <c r="F17" s="887"/>
      <c r="G17" s="888"/>
      <c r="H17" s="886"/>
      <c r="I17" s="887"/>
      <c r="J17" s="887"/>
      <c r="K17" s="887"/>
      <c r="L17" s="888"/>
    </row>
    <row r="18" spans="2:12" x14ac:dyDescent="0.25">
      <c r="B18" s="886"/>
      <c r="C18" s="887"/>
      <c r="D18" s="887"/>
      <c r="E18" s="887"/>
      <c r="F18" s="887"/>
      <c r="G18" s="888"/>
      <c r="H18" s="886"/>
      <c r="I18" s="887"/>
      <c r="J18" s="887"/>
      <c r="K18" s="887"/>
      <c r="L18" s="888"/>
    </row>
    <row r="19" spans="2:12" x14ac:dyDescent="0.25">
      <c r="B19" s="886"/>
      <c r="C19" s="887"/>
      <c r="D19" s="887"/>
      <c r="E19" s="887"/>
      <c r="F19" s="887"/>
      <c r="G19" s="888"/>
      <c r="H19" s="886"/>
      <c r="I19" s="887"/>
      <c r="J19" s="887"/>
      <c r="K19" s="887"/>
      <c r="L19" s="888"/>
    </row>
    <row r="20" spans="2:12" x14ac:dyDescent="0.25">
      <c r="B20" s="886"/>
      <c r="C20" s="887"/>
      <c r="D20" s="887"/>
      <c r="E20" s="887"/>
      <c r="F20" s="887"/>
      <c r="G20" s="888"/>
      <c r="H20" s="886"/>
      <c r="I20" s="887"/>
      <c r="J20" s="887"/>
      <c r="K20" s="887"/>
      <c r="L20" s="888"/>
    </row>
    <row r="21" spans="2:12" x14ac:dyDescent="0.25">
      <c r="B21" s="886"/>
      <c r="C21" s="887"/>
      <c r="D21" s="887"/>
      <c r="E21" s="887"/>
      <c r="F21" s="887"/>
      <c r="G21" s="888"/>
      <c r="H21" s="886"/>
      <c r="I21" s="887"/>
      <c r="J21" s="887"/>
      <c r="K21" s="887"/>
      <c r="L21" s="888"/>
    </row>
    <row r="22" spans="2:12" x14ac:dyDescent="0.25">
      <c r="B22" s="886"/>
      <c r="C22" s="887"/>
      <c r="D22" s="887"/>
      <c r="E22" s="887"/>
      <c r="F22" s="887"/>
      <c r="G22" s="888"/>
      <c r="H22" s="886"/>
      <c r="I22" s="887"/>
      <c r="J22" s="887"/>
      <c r="K22" s="887"/>
      <c r="L22" s="888"/>
    </row>
    <row r="23" spans="2:12" x14ac:dyDescent="0.25">
      <c r="B23" s="889" t="s">
        <v>1337</v>
      </c>
      <c r="C23" s="890"/>
      <c r="D23" s="890"/>
      <c r="E23" s="890"/>
      <c r="F23" s="890"/>
      <c r="G23" s="891"/>
      <c r="H23" s="895" t="s">
        <v>1338</v>
      </c>
      <c r="I23" s="896"/>
      <c r="J23" s="896"/>
      <c r="K23" s="896"/>
      <c r="L23" s="897"/>
    </row>
    <row r="24" spans="2:12" ht="15.75" thickBot="1" x14ac:dyDescent="0.3">
      <c r="B24" s="892"/>
      <c r="C24" s="893"/>
      <c r="D24" s="893"/>
      <c r="E24" s="893"/>
      <c r="F24" s="893"/>
      <c r="G24" s="894"/>
      <c r="H24" s="898"/>
      <c r="I24" s="899"/>
      <c r="J24" s="899"/>
      <c r="K24" s="899"/>
      <c r="L24" s="900"/>
    </row>
    <row r="25" spans="2:12" x14ac:dyDescent="0.25">
      <c r="B25" s="901" t="s">
        <v>453</v>
      </c>
      <c r="C25" s="902"/>
      <c r="D25" s="902"/>
      <c r="E25" s="902"/>
      <c r="F25" s="902"/>
      <c r="G25" s="903"/>
      <c r="H25" s="901" t="s">
        <v>454</v>
      </c>
      <c r="I25" s="902"/>
      <c r="J25" s="902"/>
      <c r="K25" s="902"/>
      <c r="L25" s="903"/>
    </row>
    <row r="26" spans="2:12" x14ac:dyDescent="0.25">
      <c r="B26" s="886"/>
      <c r="C26" s="887"/>
      <c r="D26" s="887"/>
      <c r="E26" s="887"/>
      <c r="F26" s="887"/>
      <c r="G26" s="888"/>
      <c r="H26" s="886"/>
      <c r="I26" s="887"/>
      <c r="J26" s="887"/>
      <c r="K26" s="887"/>
      <c r="L26" s="888"/>
    </row>
    <row r="27" spans="2:12" x14ac:dyDescent="0.25">
      <c r="B27" s="886"/>
      <c r="C27" s="887"/>
      <c r="D27" s="887"/>
      <c r="E27" s="887"/>
      <c r="F27" s="887"/>
      <c r="G27" s="888"/>
      <c r="H27" s="886"/>
      <c r="I27" s="887"/>
      <c r="J27" s="887"/>
      <c r="K27" s="887"/>
      <c r="L27" s="888"/>
    </row>
    <row r="28" spans="2:12" x14ac:dyDescent="0.25">
      <c r="B28" s="886"/>
      <c r="C28" s="887"/>
      <c r="D28" s="887"/>
      <c r="E28" s="887"/>
      <c r="F28" s="887"/>
      <c r="G28" s="888"/>
      <c r="H28" s="886"/>
      <c r="I28" s="887"/>
      <c r="J28" s="887"/>
      <c r="K28" s="887"/>
      <c r="L28" s="888"/>
    </row>
    <row r="29" spans="2:12" x14ac:dyDescent="0.25">
      <c r="B29" s="886"/>
      <c r="C29" s="887"/>
      <c r="D29" s="887"/>
      <c r="E29" s="887"/>
      <c r="F29" s="887"/>
      <c r="G29" s="888"/>
      <c r="H29" s="886"/>
      <c r="I29" s="887"/>
      <c r="J29" s="887"/>
      <c r="K29" s="887"/>
      <c r="L29" s="888"/>
    </row>
    <row r="30" spans="2:12" x14ac:dyDescent="0.25">
      <c r="B30" s="886"/>
      <c r="C30" s="887"/>
      <c r="D30" s="887"/>
      <c r="E30" s="887"/>
      <c r="F30" s="887"/>
      <c r="G30" s="888"/>
      <c r="H30" s="886"/>
      <c r="I30" s="887"/>
      <c r="J30" s="887"/>
      <c r="K30" s="887"/>
      <c r="L30" s="888"/>
    </row>
    <row r="31" spans="2:12" x14ac:dyDescent="0.25">
      <c r="B31" s="886"/>
      <c r="C31" s="887"/>
      <c r="D31" s="887"/>
      <c r="E31" s="887"/>
      <c r="F31" s="887"/>
      <c r="G31" s="888"/>
      <c r="H31" s="886"/>
      <c r="I31" s="887"/>
      <c r="J31" s="887"/>
      <c r="K31" s="887"/>
      <c r="L31" s="888"/>
    </row>
    <row r="32" spans="2:12" x14ac:dyDescent="0.25">
      <c r="B32" s="886"/>
      <c r="C32" s="887"/>
      <c r="D32" s="887"/>
      <c r="E32" s="887"/>
      <c r="F32" s="887"/>
      <c r="G32" s="888"/>
      <c r="H32" s="886"/>
      <c r="I32" s="887"/>
      <c r="J32" s="887"/>
      <c r="K32" s="887"/>
      <c r="L32" s="888"/>
    </row>
    <row r="33" spans="2:12" x14ac:dyDescent="0.25">
      <c r="B33" s="886"/>
      <c r="C33" s="887"/>
      <c r="D33" s="887"/>
      <c r="E33" s="887"/>
      <c r="F33" s="887"/>
      <c r="G33" s="888"/>
      <c r="H33" s="886"/>
      <c r="I33" s="887"/>
      <c r="J33" s="887"/>
      <c r="K33" s="887"/>
      <c r="L33" s="888"/>
    </row>
    <row r="34" spans="2:12" x14ac:dyDescent="0.25">
      <c r="B34" s="886"/>
      <c r="C34" s="887"/>
      <c r="D34" s="887"/>
      <c r="E34" s="887"/>
      <c r="F34" s="887"/>
      <c r="G34" s="888"/>
      <c r="H34" s="886"/>
      <c r="I34" s="887"/>
      <c r="J34" s="887"/>
      <c r="K34" s="887"/>
      <c r="L34" s="888"/>
    </row>
    <row r="35" spans="2:12" x14ac:dyDescent="0.25">
      <c r="B35" s="886"/>
      <c r="C35" s="887"/>
      <c r="D35" s="887"/>
      <c r="E35" s="887"/>
      <c r="F35" s="887"/>
      <c r="G35" s="888"/>
      <c r="H35" s="886"/>
      <c r="I35" s="887"/>
      <c r="J35" s="887"/>
      <c r="K35" s="887"/>
      <c r="L35" s="888"/>
    </row>
    <row r="36" spans="2:12" x14ac:dyDescent="0.25">
      <c r="B36" s="886"/>
      <c r="C36" s="887"/>
      <c r="D36" s="887"/>
      <c r="E36" s="887"/>
      <c r="F36" s="887"/>
      <c r="G36" s="888"/>
      <c r="H36" s="886"/>
      <c r="I36" s="887"/>
      <c r="J36" s="887"/>
      <c r="K36" s="887"/>
      <c r="L36" s="888"/>
    </row>
    <row r="37" spans="2:12" x14ac:dyDescent="0.25">
      <c r="B37" s="886"/>
      <c r="C37" s="887"/>
      <c r="D37" s="887"/>
      <c r="E37" s="887"/>
      <c r="F37" s="887"/>
      <c r="G37" s="888"/>
      <c r="H37" s="886"/>
      <c r="I37" s="887"/>
      <c r="J37" s="887"/>
      <c r="K37" s="887"/>
      <c r="L37" s="888"/>
    </row>
    <row r="38" spans="2:12" x14ac:dyDescent="0.25">
      <c r="B38" s="886"/>
      <c r="C38" s="887"/>
      <c r="D38" s="887"/>
      <c r="E38" s="887"/>
      <c r="F38" s="887"/>
      <c r="G38" s="888"/>
      <c r="H38" s="886"/>
      <c r="I38" s="887"/>
      <c r="J38" s="887"/>
      <c r="K38" s="887"/>
      <c r="L38" s="888"/>
    </row>
    <row r="39" spans="2:12" x14ac:dyDescent="0.25">
      <c r="B39" s="889" t="s">
        <v>1335</v>
      </c>
      <c r="C39" s="890"/>
      <c r="D39" s="890"/>
      <c r="E39" s="890"/>
      <c r="F39" s="890"/>
      <c r="G39" s="891"/>
      <c r="H39" s="895" t="s">
        <v>1336</v>
      </c>
      <c r="I39" s="896"/>
      <c r="J39" s="896"/>
      <c r="K39" s="896"/>
      <c r="L39" s="897"/>
    </row>
    <row r="40" spans="2:12" ht="36" customHeight="1" thickBot="1" x14ac:dyDescent="0.3">
      <c r="B40" s="892"/>
      <c r="C40" s="893"/>
      <c r="D40" s="893"/>
      <c r="E40" s="893"/>
      <c r="F40" s="893"/>
      <c r="G40" s="894"/>
      <c r="H40" s="898"/>
      <c r="I40" s="899"/>
      <c r="J40" s="899"/>
      <c r="K40" s="899"/>
      <c r="L40" s="900"/>
    </row>
    <row r="41" spans="2:12" ht="15" customHeight="1" x14ac:dyDescent="0.25">
      <c r="B41" s="901" t="s">
        <v>453</v>
      </c>
      <c r="C41" s="902"/>
      <c r="D41" s="902"/>
      <c r="E41" s="902"/>
      <c r="F41" s="902"/>
      <c r="G41" s="903"/>
      <c r="H41" s="901" t="s">
        <v>454</v>
      </c>
      <c r="I41" s="902"/>
      <c r="J41" s="902"/>
      <c r="K41" s="902"/>
      <c r="L41" s="903"/>
    </row>
    <row r="42" spans="2:12" ht="15" customHeight="1" x14ac:dyDescent="0.25">
      <c r="B42" s="886"/>
      <c r="C42" s="887"/>
      <c r="D42" s="887"/>
      <c r="E42" s="887"/>
      <c r="F42" s="887"/>
      <c r="G42" s="888"/>
      <c r="H42" s="886"/>
      <c r="I42" s="887"/>
      <c r="J42" s="887"/>
      <c r="K42" s="887"/>
      <c r="L42" s="888"/>
    </row>
    <row r="43" spans="2:12" ht="15" customHeight="1" x14ac:dyDescent="0.25">
      <c r="B43" s="886"/>
      <c r="C43" s="887"/>
      <c r="D43" s="887"/>
      <c r="E43" s="887"/>
      <c r="F43" s="887"/>
      <c r="G43" s="888"/>
      <c r="H43" s="886"/>
      <c r="I43" s="887"/>
      <c r="J43" s="887"/>
      <c r="K43" s="887"/>
      <c r="L43" s="888"/>
    </row>
    <row r="44" spans="2:12" ht="15" customHeight="1" x14ac:dyDescent="0.25">
      <c r="B44" s="886"/>
      <c r="C44" s="887"/>
      <c r="D44" s="887"/>
      <c r="E44" s="887"/>
      <c r="F44" s="887"/>
      <c r="G44" s="888"/>
      <c r="H44" s="886"/>
      <c r="I44" s="887"/>
      <c r="J44" s="887"/>
      <c r="K44" s="887"/>
      <c r="L44" s="888"/>
    </row>
    <row r="45" spans="2:12" ht="15" customHeight="1" x14ac:dyDescent="0.25">
      <c r="B45" s="886"/>
      <c r="C45" s="887"/>
      <c r="D45" s="887"/>
      <c r="E45" s="887"/>
      <c r="F45" s="887"/>
      <c r="G45" s="888"/>
      <c r="H45" s="886"/>
      <c r="I45" s="887"/>
      <c r="J45" s="887"/>
      <c r="K45" s="887"/>
      <c r="L45" s="888"/>
    </row>
    <row r="46" spans="2:12" ht="15" customHeight="1" x14ac:dyDescent="0.25">
      <c r="B46" s="886"/>
      <c r="C46" s="887"/>
      <c r="D46" s="887"/>
      <c r="E46" s="887"/>
      <c r="F46" s="887"/>
      <c r="G46" s="888"/>
      <c r="H46" s="886"/>
      <c r="I46" s="887"/>
      <c r="J46" s="887"/>
      <c r="K46" s="887"/>
      <c r="L46" s="888"/>
    </row>
    <row r="47" spans="2:12" ht="15" customHeight="1" x14ac:dyDescent="0.25">
      <c r="B47" s="886"/>
      <c r="C47" s="887"/>
      <c r="D47" s="887"/>
      <c r="E47" s="887"/>
      <c r="F47" s="887"/>
      <c r="G47" s="888"/>
      <c r="H47" s="886"/>
      <c r="I47" s="887"/>
      <c r="J47" s="887"/>
      <c r="K47" s="887"/>
      <c r="L47" s="888"/>
    </row>
    <row r="48" spans="2:12" ht="15" customHeight="1" x14ac:dyDescent="0.25">
      <c r="B48" s="886"/>
      <c r="C48" s="887"/>
      <c r="D48" s="887"/>
      <c r="E48" s="887"/>
      <c r="F48" s="887"/>
      <c r="G48" s="888"/>
      <c r="H48" s="886"/>
      <c r="I48" s="887"/>
      <c r="J48" s="887"/>
      <c r="K48" s="887"/>
      <c r="L48" s="888"/>
    </row>
    <row r="49" spans="2:12" ht="15" customHeight="1" x14ac:dyDescent="0.25">
      <c r="B49" s="886"/>
      <c r="C49" s="887"/>
      <c r="D49" s="887"/>
      <c r="E49" s="887"/>
      <c r="F49" s="887"/>
      <c r="G49" s="888"/>
      <c r="H49" s="886"/>
      <c r="I49" s="887"/>
      <c r="J49" s="887"/>
      <c r="K49" s="887"/>
      <c r="L49" s="888"/>
    </row>
    <row r="50" spans="2:12" ht="15" customHeight="1" x14ac:dyDescent="0.25">
      <c r="B50" s="886"/>
      <c r="C50" s="887"/>
      <c r="D50" s="887"/>
      <c r="E50" s="887"/>
      <c r="F50" s="887"/>
      <c r="G50" s="888"/>
      <c r="H50" s="886"/>
      <c r="I50" s="887"/>
      <c r="J50" s="887"/>
      <c r="K50" s="887"/>
      <c r="L50" s="888"/>
    </row>
    <row r="51" spans="2:12" ht="15" customHeight="1" x14ac:dyDescent="0.25">
      <c r="B51" s="886"/>
      <c r="C51" s="887"/>
      <c r="D51" s="887"/>
      <c r="E51" s="887"/>
      <c r="F51" s="887"/>
      <c r="G51" s="888"/>
      <c r="H51" s="886"/>
      <c r="I51" s="887"/>
      <c r="J51" s="887"/>
      <c r="K51" s="887"/>
      <c r="L51" s="888"/>
    </row>
    <row r="52" spans="2:12" ht="15" customHeight="1" x14ac:dyDescent="0.25">
      <c r="B52" s="886"/>
      <c r="C52" s="887"/>
      <c r="D52" s="887"/>
      <c r="E52" s="887"/>
      <c r="F52" s="887"/>
      <c r="G52" s="888"/>
      <c r="H52" s="886"/>
      <c r="I52" s="887"/>
      <c r="J52" s="887"/>
      <c r="K52" s="887"/>
      <c r="L52" s="888"/>
    </row>
    <row r="53" spans="2:12" ht="15" customHeight="1" x14ac:dyDescent="0.25">
      <c r="B53" s="886"/>
      <c r="C53" s="887"/>
      <c r="D53" s="887"/>
      <c r="E53" s="887"/>
      <c r="F53" s="887"/>
      <c r="G53" s="888"/>
      <c r="H53" s="886"/>
      <c r="I53" s="887"/>
      <c r="J53" s="887"/>
      <c r="K53" s="887"/>
      <c r="L53" s="888"/>
    </row>
    <row r="54" spans="2:12" x14ac:dyDescent="0.25">
      <c r="B54" s="886"/>
      <c r="C54" s="887"/>
      <c r="D54" s="887"/>
      <c r="E54" s="887"/>
      <c r="F54" s="887"/>
      <c r="G54" s="888"/>
      <c r="H54" s="886"/>
      <c r="I54" s="887"/>
      <c r="J54" s="887"/>
      <c r="K54" s="887"/>
      <c r="L54" s="888"/>
    </row>
    <row r="55" spans="2:12" ht="31.5" customHeight="1" x14ac:dyDescent="0.25">
      <c r="B55" s="889" t="s">
        <v>1334</v>
      </c>
      <c r="C55" s="890"/>
      <c r="D55" s="890"/>
      <c r="E55" s="890"/>
      <c r="F55" s="890"/>
      <c r="G55" s="890"/>
      <c r="H55" s="890"/>
      <c r="I55" s="890"/>
      <c r="J55" s="890"/>
      <c r="K55" s="890"/>
      <c r="L55" s="891"/>
    </row>
    <row r="56" spans="2:12" ht="15.75" thickBot="1" x14ac:dyDescent="0.3">
      <c r="B56" s="892"/>
      <c r="C56" s="893"/>
      <c r="D56" s="893"/>
      <c r="E56" s="893"/>
      <c r="F56" s="893"/>
      <c r="G56" s="893"/>
      <c r="H56" s="893"/>
      <c r="I56" s="893"/>
      <c r="J56" s="893"/>
      <c r="K56" s="893"/>
      <c r="L56" s="894"/>
    </row>
  </sheetData>
  <mergeCells count="27">
    <mergeCell ref="B39:G40"/>
    <mergeCell ref="H39:L40"/>
    <mergeCell ref="B41:G54"/>
    <mergeCell ref="H41:L54"/>
    <mergeCell ref="B55:L56"/>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A1:L85"/>
  <sheetViews>
    <sheetView showGridLines="0" zoomScale="85" zoomScaleNormal="85" workbookViewId="0">
      <selection activeCell="K4" sqref="K4:L4"/>
    </sheetView>
  </sheetViews>
  <sheetFormatPr baseColWidth="10" defaultColWidth="11.42578125" defaultRowHeight="15" x14ac:dyDescent="0.25"/>
  <cols>
    <col min="1" max="1" width="6.85546875" style="130" customWidth="1"/>
    <col min="2" max="5" width="11.42578125" style="130"/>
    <col min="6" max="6" width="13.7109375" style="130" customWidth="1"/>
    <col min="7" max="7" width="6.28515625" style="130" customWidth="1"/>
    <col min="8" max="8" width="11.42578125" style="130"/>
    <col min="9" max="9" width="18.7109375" style="130" customWidth="1"/>
    <col min="10" max="11" width="11.42578125" style="130"/>
    <col min="12" max="12" width="8.140625" style="130" customWidth="1"/>
    <col min="13" max="16384" width="11.42578125" style="130"/>
  </cols>
  <sheetData>
    <row r="1" spans="1:12" s="131" customFormat="1" ht="27.75" customHeight="1" x14ac:dyDescent="0.25">
      <c r="A1" s="280"/>
      <c r="B1" s="871" t="s">
        <v>252</v>
      </c>
      <c r="C1" s="871"/>
      <c r="D1" s="871"/>
      <c r="E1" s="871"/>
      <c r="F1" s="871"/>
      <c r="G1" s="871"/>
      <c r="H1" s="871"/>
      <c r="I1" s="871"/>
      <c r="J1" s="871"/>
      <c r="K1" s="871"/>
      <c r="L1" s="921"/>
    </row>
    <row r="2" spans="1:12" s="131" customFormat="1" ht="11.25" customHeight="1" x14ac:dyDescent="0.25">
      <c r="A2" s="281"/>
      <c r="B2" s="922"/>
      <c r="C2" s="872"/>
      <c r="D2" s="872"/>
      <c r="E2" s="872"/>
      <c r="F2" s="872"/>
      <c r="G2" s="872"/>
      <c r="H2" s="872"/>
      <c r="I2" s="872"/>
      <c r="J2" s="872"/>
      <c r="K2" s="872"/>
      <c r="L2" s="923"/>
    </row>
    <row r="3" spans="1:12" s="131" customFormat="1" ht="24.95" customHeight="1" x14ac:dyDescent="0.25">
      <c r="A3" s="281"/>
      <c r="B3" s="924" t="s">
        <v>290</v>
      </c>
      <c r="C3" s="924"/>
      <c r="D3" s="924"/>
      <c r="E3" s="925"/>
      <c r="F3" s="97">
        <v>44189</v>
      </c>
      <c r="G3" s="926" t="s">
        <v>291</v>
      </c>
      <c r="H3" s="924"/>
      <c r="I3" s="925"/>
      <c r="J3" s="927">
        <v>44195</v>
      </c>
      <c r="K3" s="924"/>
      <c r="L3" s="925"/>
    </row>
    <row r="4" spans="1:12" s="131" customFormat="1" ht="24.95" customHeight="1" x14ac:dyDescent="0.25">
      <c r="A4" s="281"/>
      <c r="B4" s="928" t="s">
        <v>251</v>
      </c>
      <c r="C4" s="928"/>
      <c r="D4" s="928"/>
      <c r="E4" s="928"/>
      <c r="F4" s="928"/>
      <c r="G4" s="928"/>
      <c r="H4" s="929"/>
      <c r="I4" s="278" t="s">
        <v>490</v>
      </c>
      <c r="J4" s="278" t="s">
        <v>2</v>
      </c>
      <c r="K4" s="884" t="s">
        <v>0</v>
      </c>
      <c r="L4" s="932"/>
    </row>
    <row r="5" spans="1:12" s="131" customFormat="1" ht="24.95" customHeight="1" x14ac:dyDescent="0.25">
      <c r="A5" s="281"/>
      <c r="B5" s="930"/>
      <c r="C5" s="930"/>
      <c r="D5" s="930"/>
      <c r="E5" s="930"/>
      <c r="F5" s="930"/>
      <c r="G5" s="930"/>
      <c r="H5" s="931"/>
      <c r="I5" s="279" t="s">
        <v>491</v>
      </c>
      <c r="J5" s="278">
        <v>2</v>
      </c>
      <c r="K5" s="884" t="s">
        <v>292</v>
      </c>
      <c r="L5" s="932"/>
    </row>
    <row r="6" spans="1:12" s="131" customFormat="1" ht="15.75" customHeight="1" x14ac:dyDescent="0.25">
      <c r="A6" s="281"/>
      <c r="B6" s="916" t="s">
        <v>453</v>
      </c>
      <c r="C6" s="887"/>
      <c r="D6" s="887"/>
      <c r="E6" s="887"/>
      <c r="F6" s="887"/>
      <c r="G6" s="888"/>
      <c r="H6" s="886" t="s">
        <v>454</v>
      </c>
      <c r="I6" s="887"/>
      <c r="J6" s="887"/>
      <c r="K6" s="887"/>
      <c r="L6" s="888"/>
    </row>
    <row r="7" spans="1:12" s="131" customFormat="1" x14ac:dyDescent="0.25">
      <c r="A7" s="281"/>
      <c r="B7" s="916"/>
      <c r="C7" s="887"/>
      <c r="D7" s="887"/>
      <c r="E7" s="887"/>
      <c r="F7" s="887"/>
      <c r="G7" s="888"/>
      <c r="H7" s="886"/>
      <c r="I7" s="887"/>
      <c r="J7" s="887"/>
      <c r="K7" s="887"/>
      <c r="L7" s="888"/>
    </row>
    <row r="8" spans="1:12" s="131" customFormat="1" x14ac:dyDescent="0.25">
      <c r="A8" s="281"/>
      <c r="B8" s="916"/>
      <c r="C8" s="887"/>
      <c r="D8" s="887"/>
      <c r="E8" s="887"/>
      <c r="F8" s="887"/>
      <c r="G8" s="888"/>
      <c r="H8" s="886"/>
      <c r="I8" s="887"/>
      <c r="J8" s="887"/>
      <c r="K8" s="887"/>
      <c r="L8" s="888"/>
    </row>
    <row r="9" spans="1:12" s="131" customFormat="1" x14ac:dyDescent="0.25">
      <c r="A9" s="281"/>
      <c r="B9" s="916"/>
      <c r="C9" s="887"/>
      <c r="D9" s="887"/>
      <c r="E9" s="887"/>
      <c r="F9" s="887"/>
      <c r="G9" s="888"/>
      <c r="H9" s="886"/>
      <c r="I9" s="887"/>
      <c r="J9" s="887"/>
      <c r="K9" s="887"/>
      <c r="L9" s="888"/>
    </row>
    <row r="10" spans="1:12" s="131" customFormat="1" x14ac:dyDescent="0.25">
      <c r="A10" s="281"/>
      <c r="B10" s="916"/>
      <c r="C10" s="887"/>
      <c r="D10" s="887"/>
      <c r="E10" s="887"/>
      <c r="F10" s="887"/>
      <c r="G10" s="888"/>
      <c r="H10" s="886"/>
      <c r="I10" s="887"/>
      <c r="J10" s="887"/>
      <c r="K10" s="887"/>
      <c r="L10" s="888"/>
    </row>
    <row r="11" spans="1:12" s="131" customFormat="1" x14ac:dyDescent="0.25">
      <c r="A11" s="281"/>
      <c r="B11" s="916"/>
      <c r="C11" s="887"/>
      <c r="D11" s="887"/>
      <c r="E11" s="887"/>
      <c r="F11" s="887"/>
      <c r="G11" s="888"/>
      <c r="H11" s="886"/>
      <c r="I11" s="887"/>
      <c r="J11" s="887"/>
      <c r="K11" s="887"/>
      <c r="L11" s="888"/>
    </row>
    <row r="12" spans="1:12" s="131" customFormat="1" x14ac:dyDescent="0.25">
      <c r="A12" s="281"/>
      <c r="B12" s="916"/>
      <c r="C12" s="887"/>
      <c r="D12" s="887"/>
      <c r="E12" s="887"/>
      <c r="F12" s="887"/>
      <c r="G12" s="888"/>
      <c r="H12" s="886"/>
      <c r="I12" s="887"/>
      <c r="J12" s="887"/>
      <c r="K12" s="887"/>
      <c r="L12" s="888"/>
    </row>
    <row r="13" spans="1:12" s="131" customFormat="1" x14ac:dyDescent="0.25">
      <c r="A13" s="281"/>
      <c r="B13" s="916"/>
      <c r="C13" s="887"/>
      <c r="D13" s="887"/>
      <c r="E13" s="887"/>
      <c r="F13" s="887"/>
      <c r="G13" s="888"/>
      <c r="H13" s="886"/>
      <c r="I13" s="887"/>
      <c r="J13" s="887"/>
      <c r="K13" s="887"/>
      <c r="L13" s="888"/>
    </row>
    <row r="14" spans="1:12" s="131" customFormat="1" x14ac:dyDescent="0.25">
      <c r="A14" s="281"/>
      <c r="B14" s="916"/>
      <c r="C14" s="887"/>
      <c r="D14" s="887"/>
      <c r="E14" s="887"/>
      <c r="F14" s="887"/>
      <c r="G14" s="888"/>
      <c r="H14" s="886"/>
      <c r="I14" s="887"/>
      <c r="J14" s="887"/>
      <c r="K14" s="887"/>
      <c r="L14" s="888"/>
    </row>
    <row r="15" spans="1:12" s="131" customFormat="1" x14ac:dyDescent="0.25">
      <c r="A15" s="281"/>
      <c r="B15" s="916"/>
      <c r="C15" s="887"/>
      <c r="D15" s="887"/>
      <c r="E15" s="887"/>
      <c r="F15" s="887"/>
      <c r="G15" s="888"/>
      <c r="H15" s="886"/>
      <c r="I15" s="887"/>
      <c r="J15" s="887"/>
      <c r="K15" s="887"/>
      <c r="L15" s="888"/>
    </row>
    <row r="16" spans="1:12" s="131" customFormat="1" x14ac:dyDescent="0.25">
      <c r="A16" s="281"/>
      <c r="B16" s="916"/>
      <c r="C16" s="887"/>
      <c r="D16" s="887"/>
      <c r="E16" s="887"/>
      <c r="F16" s="887"/>
      <c r="G16" s="888"/>
      <c r="H16" s="886"/>
      <c r="I16" s="887"/>
      <c r="J16" s="887"/>
      <c r="K16" s="887"/>
      <c r="L16" s="888"/>
    </row>
    <row r="17" spans="1:12" s="131" customFormat="1" x14ac:dyDescent="0.25">
      <c r="A17" s="281"/>
      <c r="B17" s="916"/>
      <c r="C17" s="887"/>
      <c r="D17" s="887"/>
      <c r="E17" s="887"/>
      <c r="F17" s="887"/>
      <c r="G17" s="888"/>
      <c r="H17" s="886"/>
      <c r="I17" s="887"/>
      <c r="J17" s="887"/>
      <c r="K17" s="887"/>
      <c r="L17" s="888"/>
    </row>
    <row r="18" spans="1:12" s="131" customFormat="1" x14ac:dyDescent="0.25">
      <c r="A18" s="281"/>
      <c r="B18" s="916"/>
      <c r="C18" s="887"/>
      <c r="D18" s="887"/>
      <c r="E18" s="887"/>
      <c r="F18" s="887"/>
      <c r="G18" s="888"/>
      <c r="H18" s="886"/>
      <c r="I18" s="887"/>
      <c r="J18" s="887"/>
      <c r="K18" s="887"/>
      <c r="L18" s="888"/>
    </row>
    <row r="19" spans="1:12" s="131" customFormat="1" ht="15.75" thickBot="1" x14ac:dyDescent="0.3">
      <c r="A19" s="281"/>
      <c r="B19" s="916"/>
      <c r="C19" s="887"/>
      <c r="D19" s="887"/>
      <c r="E19" s="887"/>
      <c r="F19" s="887"/>
      <c r="G19" s="888"/>
      <c r="H19" s="886"/>
      <c r="I19" s="887"/>
      <c r="J19" s="887"/>
      <c r="K19" s="887"/>
      <c r="L19" s="888"/>
    </row>
    <row r="20" spans="1:12" s="131" customFormat="1" ht="15" customHeight="1" x14ac:dyDescent="0.25">
      <c r="A20" s="281"/>
      <c r="B20" s="933" t="s">
        <v>1240</v>
      </c>
      <c r="C20" s="934"/>
      <c r="D20" s="934"/>
      <c r="E20" s="934"/>
      <c r="F20" s="934"/>
      <c r="G20" s="935"/>
      <c r="H20" s="910" t="s">
        <v>1241</v>
      </c>
      <c r="I20" s="911"/>
      <c r="J20" s="911"/>
      <c r="K20" s="911"/>
      <c r="L20" s="912"/>
    </row>
    <row r="21" spans="1:12" s="131" customFormat="1" ht="30.75" customHeight="1" thickBot="1" x14ac:dyDescent="0.3">
      <c r="A21" s="281"/>
      <c r="B21" s="936"/>
      <c r="C21" s="937"/>
      <c r="D21" s="937"/>
      <c r="E21" s="937"/>
      <c r="F21" s="937"/>
      <c r="G21" s="938"/>
      <c r="H21" s="913"/>
      <c r="I21" s="914"/>
      <c r="J21" s="914"/>
      <c r="K21" s="914"/>
      <c r="L21" s="915"/>
    </row>
    <row r="22" spans="1:12" s="131" customFormat="1" ht="15.75" customHeight="1" x14ac:dyDescent="0.25">
      <c r="A22" s="281"/>
      <c r="B22" s="902" t="s">
        <v>502</v>
      </c>
      <c r="C22" s="902"/>
      <c r="D22" s="902"/>
      <c r="E22" s="902"/>
      <c r="F22" s="902"/>
      <c r="G22" s="903"/>
      <c r="H22" s="901" t="s">
        <v>503</v>
      </c>
      <c r="I22" s="902"/>
      <c r="J22" s="902"/>
      <c r="K22" s="902"/>
      <c r="L22" s="903"/>
    </row>
    <row r="23" spans="1:12" s="131" customFormat="1" x14ac:dyDescent="0.25">
      <c r="A23" s="281"/>
      <c r="B23" s="916"/>
      <c r="C23" s="887"/>
      <c r="D23" s="887"/>
      <c r="E23" s="887"/>
      <c r="F23" s="887"/>
      <c r="G23" s="888"/>
      <c r="H23" s="886"/>
      <c r="I23" s="887"/>
      <c r="J23" s="887"/>
      <c r="K23" s="887"/>
      <c r="L23" s="888"/>
    </row>
    <row r="24" spans="1:12" s="131" customFormat="1" x14ac:dyDescent="0.25">
      <c r="A24" s="281"/>
      <c r="B24" s="916"/>
      <c r="C24" s="887"/>
      <c r="D24" s="887"/>
      <c r="E24" s="887"/>
      <c r="F24" s="887"/>
      <c r="G24" s="888"/>
      <c r="H24" s="886"/>
      <c r="I24" s="887"/>
      <c r="J24" s="887"/>
      <c r="K24" s="887"/>
      <c r="L24" s="888"/>
    </row>
    <row r="25" spans="1:12" s="131" customFormat="1" x14ac:dyDescent="0.25">
      <c r="A25" s="281"/>
      <c r="B25" s="916"/>
      <c r="C25" s="887"/>
      <c r="D25" s="887"/>
      <c r="E25" s="887"/>
      <c r="F25" s="887"/>
      <c r="G25" s="888"/>
      <c r="H25" s="886"/>
      <c r="I25" s="887"/>
      <c r="J25" s="887"/>
      <c r="K25" s="887"/>
      <c r="L25" s="888"/>
    </row>
    <row r="26" spans="1:12" s="131" customFormat="1" x14ac:dyDescent="0.25">
      <c r="A26" s="281"/>
      <c r="B26" s="916"/>
      <c r="C26" s="887"/>
      <c r="D26" s="887"/>
      <c r="E26" s="887"/>
      <c r="F26" s="887"/>
      <c r="G26" s="888"/>
      <c r="H26" s="886"/>
      <c r="I26" s="887"/>
      <c r="J26" s="887"/>
      <c r="K26" s="887"/>
      <c r="L26" s="888"/>
    </row>
    <row r="27" spans="1:12" s="131" customFormat="1" x14ac:dyDescent="0.25">
      <c r="A27" s="281"/>
      <c r="B27" s="916"/>
      <c r="C27" s="887"/>
      <c r="D27" s="887"/>
      <c r="E27" s="887"/>
      <c r="F27" s="887"/>
      <c r="G27" s="888"/>
      <c r="H27" s="886"/>
      <c r="I27" s="887"/>
      <c r="J27" s="887"/>
      <c r="K27" s="887"/>
      <c r="L27" s="888"/>
    </row>
    <row r="28" spans="1:12" s="131" customFormat="1" x14ac:dyDescent="0.25">
      <c r="A28" s="281"/>
      <c r="B28" s="916"/>
      <c r="C28" s="887"/>
      <c r="D28" s="887"/>
      <c r="E28" s="887"/>
      <c r="F28" s="887"/>
      <c r="G28" s="888"/>
      <c r="H28" s="886"/>
      <c r="I28" s="887"/>
      <c r="J28" s="887"/>
      <c r="K28" s="887"/>
      <c r="L28" s="888"/>
    </row>
    <row r="29" spans="1:12" s="131" customFormat="1" x14ac:dyDescent="0.25">
      <c r="A29" s="281"/>
      <c r="B29" s="916"/>
      <c r="C29" s="887"/>
      <c r="D29" s="887"/>
      <c r="E29" s="887"/>
      <c r="F29" s="887"/>
      <c r="G29" s="888"/>
      <c r="H29" s="886"/>
      <c r="I29" s="887"/>
      <c r="J29" s="887"/>
      <c r="K29" s="887"/>
      <c r="L29" s="888"/>
    </row>
    <row r="30" spans="1:12" s="131" customFormat="1" x14ac:dyDescent="0.25">
      <c r="A30" s="281"/>
      <c r="B30" s="916"/>
      <c r="C30" s="887"/>
      <c r="D30" s="887"/>
      <c r="E30" s="887"/>
      <c r="F30" s="887"/>
      <c r="G30" s="888"/>
      <c r="H30" s="886"/>
      <c r="I30" s="887"/>
      <c r="J30" s="887"/>
      <c r="K30" s="887"/>
      <c r="L30" s="888"/>
    </row>
    <row r="31" spans="1:12" s="131" customFormat="1" x14ac:dyDescent="0.25">
      <c r="A31" s="281"/>
      <c r="B31" s="916"/>
      <c r="C31" s="887"/>
      <c r="D31" s="887"/>
      <c r="E31" s="887"/>
      <c r="F31" s="887"/>
      <c r="G31" s="888"/>
      <c r="H31" s="886"/>
      <c r="I31" s="887"/>
      <c r="J31" s="887"/>
      <c r="K31" s="887"/>
      <c r="L31" s="888"/>
    </row>
    <row r="32" spans="1:12" s="131" customFormat="1" x14ac:dyDescent="0.25">
      <c r="A32" s="281"/>
      <c r="B32" s="916"/>
      <c r="C32" s="887"/>
      <c r="D32" s="887"/>
      <c r="E32" s="887"/>
      <c r="F32" s="887"/>
      <c r="G32" s="888"/>
      <c r="H32" s="886"/>
      <c r="I32" s="887"/>
      <c r="J32" s="887"/>
      <c r="K32" s="887"/>
      <c r="L32" s="888"/>
    </row>
    <row r="33" spans="1:12" s="131" customFormat="1" x14ac:dyDescent="0.25">
      <c r="A33" s="281"/>
      <c r="B33" s="916"/>
      <c r="C33" s="887"/>
      <c r="D33" s="887"/>
      <c r="E33" s="887"/>
      <c r="F33" s="887"/>
      <c r="G33" s="888"/>
      <c r="H33" s="886"/>
      <c r="I33" s="887"/>
      <c r="J33" s="887"/>
      <c r="K33" s="887"/>
      <c r="L33" s="888"/>
    </row>
    <row r="34" spans="1:12" s="131" customFormat="1" x14ac:dyDescent="0.25">
      <c r="A34" s="281"/>
      <c r="B34" s="916"/>
      <c r="C34" s="887"/>
      <c r="D34" s="887"/>
      <c r="E34" s="887"/>
      <c r="F34" s="887"/>
      <c r="G34" s="888"/>
      <c r="H34" s="886"/>
      <c r="I34" s="887"/>
      <c r="J34" s="887"/>
      <c r="K34" s="887"/>
      <c r="L34" s="888"/>
    </row>
    <row r="35" spans="1:12" s="131" customFormat="1" ht="15.75" thickBot="1" x14ac:dyDescent="0.3">
      <c r="A35" s="281"/>
      <c r="B35" s="916"/>
      <c r="C35" s="887"/>
      <c r="D35" s="887"/>
      <c r="E35" s="887"/>
      <c r="F35" s="887"/>
      <c r="G35" s="888"/>
      <c r="H35" s="886"/>
      <c r="I35" s="887"/>
      <c r="J35" s="887"/>
      <c r="K35" s="887"/>
      <c r="L35" s="888"/>
    </row>
    <row r="36" spans="1:12" s="131" customFormat="1" x14ac:dyDescent="0.25">
      <c r="A36" s="281"/>
      <c r="B36" s="905" t="s">
        <v>1242</v>
      </c>
      <c r="C36" s="905"/>
      <c r="D36" s="905"/>
      <c r="E36" s="905"/>
      <c r="F36" s="905"/>
      <c r="G36" s="906"/>
      <c r="H36" s="920" t="s">
        <v>1243</v>
      </c>
      <c r="I36" s="911"/>
      <c r="J36" s="911"/>
      <c r="K36" s="911"/>
      <c r="L36" s="912"/>
    </row>
    <row r="37" spans="1:12" s="131" customFormat="1" ht="32.25" customHeight="1" thickBot="1" x14ac:dyDescent="0.3">
      <c r="A37" s="281"/>
      <c r="B37" s="908"/>
      <c r="C37" s="908"/>
      <c r="D37" s="908"/>
      <c r="E37" s="908"/>
      <c r="F37" s="908"/>
      <c r="G37" s="909"/>
      <c r="H37" s="913"/>
      <c r="I37" s="914"/>
      <c r="J37" s="914"/>
      <c r="K37" s="914"/>
      <c r="L37" s="915"/>
    </row>
    <row r="38" spans="1:12" s="131" customFormat="1" x14ac:dyDescent="0.25">
      <c r="A38" s="281"/>
      <c r="B38" s="902" t="s">
        <v>504</v>
      </c>
      <c r="C38" s="902"/>
      <c r="D38" s="902"/>
      <c r="E38" s="902"/>
      <c r="F38" s="902"/>
      <c r="G38" s="903"/>
      <c r="H38" s="901" t="s">
        <v>505</v>
      </c>
      <c r="I38" s="902"/>
      <c r="J38" s="902"/>
      <c r="K38" s="902"/>
      <c r="L38" s="903"/>
    </row>
    <row r="39" spans="1:12" s="131" customFormat="1" x14ac:dyDescent="0.25">
      <c r="A39" s="281"/>
      <c r="B39" s="916"/>
      <c r="C39" s="887"/>
      <c r="D39" s="887"/>
      <c r="E39" s="887"/>
      <c r="F39" s="887"/>
      <c r="G39" s="888"/>
      <c r="H39" s="886"/>
      <c r="I39" s="887"/>
      <c r="J39" s="887"/>
      <c r="K39" s="887"/>
      <c r="L39" s="888"/>
    </row>
    <row r="40" spans="1:12" s="131" customFormat="1" x14ac:dyDescent="0.25">
      <c r="A40" s="281"/>
      <c r="B40" s="916"/>
      <c r="C40" s="887"/>
      <c r="D40" s="887"/>
      <c r="E40" s="887"/>
      <c r="F40" s="887"/>
      <c r="G40" s="888"/>
      <c r="H40" s="886"/>
      <c r="I40" s="887"/>
      <c r="J40" s="887"/>
      <c r="K40" s="887"/>
      <c r="L40" s="888"/>
    </row>
    <row r="41" spans="1:12" s="131" customFormat="1" x14ac:dyDescent="0.25">
      <c r="A41" s="281"/>
      <c r="B41" s="916"/>
      <c r="C41" s="887"/>
      <c r="D41" s="887"/>
      <c r="E41" s="887"/>
      <c r="F41" s="887"/>
      <c r="G41" s="888"/>
      <c r="H41" s="886"/>
      <c r="I41" s="887"/>
      <c r="J41" s="887"/>
      <c r="K41" s="887"/>
      <c r="L41" s="888"/>
    </row>
    <row r="42" spans="1:12" s="131" customFormat="1" x14ac:dyDescent="0.25">
      <c r="A42" s="281"/>
      <c r="B42" s="916"/>
      <c r="C42" s="887"/>
      <c r="D42" s="887"/>
      <c r="E42" s="887"/>
      <c r="F42" s="887"/>
      <c r="G42" s="888"/>
      <c r="H42" s="886"/>
      <c r="I42" s="887"/>
      <c r="J42" s="887"/>
      <c r="K42" s="887"/>
      <c r="L42" s="888"/>
    </row>
    <row r="43" spans="1:12" s="131" customFormat="1" x14ac:dyDescent="0.25">
      <c r="A43" s="281"/>
      <c r="B43" s="916"/>
      <c r="C43" s="887"/>
      <c r="D43" s="887"/>
      <c r="E43" s="887"/>
      <c r="F43" s="887"/>
      <c r="G43" s="888"/>
      <c r="H43" s="886"/>
      <c r="I43" s="887"/>
      <c r="J43" s="887"/>
      <c r="K43" s="887"/>
      <c r="L43" s="888"/>
    </row>
    <row r="44" spans="1:12" s="131" customFormat="1" x14ac:dyDescent="0.25">
      <c r="A44" s="281"/>
      <c r="B44" s="916"/>
      <c r="C44" s="887"/>
      <c r="D44" s="887"/>
      <c r="E44" s="887"/>
      <c r="F44" s="887"/>
      <c r="G44" s="888"/>
      <c r="H44" s="886"/>
      <c r="I44" s="887"/>
      <c r="J44" s="887"/>
      <c r="K44" s="887"/>
      <c r="L44" s="888"/>
    </row>
    <row r="45" spans="1:12" s="131" customFormat="1" x14ac:dyDescent="0.25">
      <c r="A45" s="281"/>
      <c r="B45" s="916"/>
      <c r="C45" s="887"/>
      <c r="D45" s="887"/>
      <c r="E45" s="887"/>
      <c r="F45" s="887"/>
      <c r="G45" s="888"/>
      <c r="H45" s="886"/>
      <c r="I45" s="887"/>
      <c r="J45" s="887"/>
      <c r="K45" s="887"/>
      <c r="L45" s="888"/>
    </row>
    <row r="46" spans="1:12" s="131" customFormat="1" x14ac:dyDescent="0.25">
      <c r="A46" s="281"/>
      <c r="B46" s="916"/>
      <c r="C46" s="887"/>
      <c r="D46" s="887"/>
      <c r="E46" s="887"/>
      <c r="F46" s="887"/>
      <c r="G46" s="888"/>
      <c r="H46" s="886"/>
      <c r="I46" s="887"/>
      <c r="J46" s="887"/>
      <c r="K46" s="887"/>
      <c r="L46" s="888"/>
    </row>
    <row r="47" spans="1:12" s="131" customFormat="1" x14ac:dyDescent="0.25">
      <c r="A47" s="281"/>
      <c r="B47" s="916"/>
      <c r="C47" s="887"/>
      <c r="D47" s="887"/>
      <c r="E47" s="887"/>
      <c r="F47" s="887"/>
      <c r="G47" s="888"/>
      <c r="H47" s="886"/>
      <c r="I47" s="887"/>
      <c r="J47" s="887"/>
      <c r="K47" s="887"/>
      <c r="L47" s="888"/>
    </row>
    <row r="48" spans="1:12" s="131" customFormat="1" x14ac:dyDescent="0.25">
      <c r="A48" s="281"/>
      <c r="B48" s="916"/>
      <c r="C48" s="887"/>
      <c r="D48" s="887"/>
      <c r="E48" s="887"/>
      <c r="F48" s="887"/>
      <c r="G48" s="888"/>
      <c r="H48" s="886"/>
      <c r="I48" s="887"/>
      <c r="J48" s="887"/>
      <c r="K48" s="887"/>
      <c r="L48" s="888"/>
    </row>
    <row r="49" spans="1:12" s="131" customFormat="1" x14ac:dyDescent="0.25">
      <c r="A49" s="281"/>
      <c r="B49" s="916"/>
      <c r="C49" s="887"/>
      <c r="D49" s="887"/>
      <c r="E49" s="887"/>
      <c r="F49" s="887"/>
      <c r="G49" s="888"/>
      <c r="H49" s="886"/>
      <c r="I49" s="887"/>
      <c r="J49" s="887"/>
      <c r="K49" s="887"/>
      <c r="L49" s="888"/>
    </row>
    <row r="50" spans="1:12" s="131" customFormat="1" x14ac:dyDescent="0.25">
      <c r="A50" s="281"/>
      <c r="B50" s="916"/>
      <c r="C50" s="887"/>
      <c r="D50" s="887"/>
      <c r="E50" s="887"/>
      <c r="F50" s="887"/>
      <c r="G50" s="888"/>
      <c r="H50" s="886"/>
      <c r="I50" s="887"/>
      <c r="J50" s="887"/>
      <c r="K50" s="887"/>
      <c r="L50" s="888"/>
    </row>
    <row r="51" spans="1:12" s="131" customFormat="1" ht="15.75" thickBot="1" x14ac:dyDescent="0.3">
      <c r="A51" s="281"/>
      <c r="B51" s="916"/>
      <c r="C51" s="887"/>
      <c r="D51" s="887"/>
      <c r="E51" s="887"/>
      <c r="F51" s="887"/>
      <c r="G51" s="888"/>
      <c r="H51" s="886"/>
      <c r="I51" s="887"/>
      <c r="J51" s="887"/>
      <c r="K51" s="887"/>
      <c r="L51" s="888"/>
    </row>
    <row r="52" spans="1:12" s="131" customFormat="1" ht="15" customHeight="1" x14ac:dyDescent="0.25">
      <c r="A52" s="286"/>
      <c r="B52" s="904"/>
      <c r="C52" s="905"/>
      <c r="D52" s="905"/>
      <c r="E52" s="905"/>
      <c r="F52" s="905"/>
      <c r="G52" s="906"/>
      <c r="H52" s="910"/>
      <c r="I52" s="911"/>
      <c r="J52" s="911"/>
      <c r="K52" s="911"/>
      <c r="L52" s="912"/>
    </row>
    <row r="53" spans="1:12" s="131" customFormat="1" ht="15.75" thickBot="1" x14ac:dyDescent="0.3">
      <c r="A53" s="285"/>
      <c r="B53" s="907"/>
      <c r="C53" s="908"/>
      <c r="D53" s="908"/>
      <c r="E53" s="908"/>
      <c r="F53" s="908"/>
      <c r="G53" s="909"/>
      <c r="H53" s="913"/>
      <c r="I53" s="914"/>
      <c r="J53" s="914"/>
      <c r="K53" s="914"/>
      <c r="L53" s="915"/>
    </row>
    <row r="54" spans="1:12" x14ac:dyDescent="0.25">
      <c r="B54" s="901"/>
      <c r="C54" s="902"/>
      <c r="D54" s="902"/>
      <c r="E54" s="902"/>
      <c r="F54" s="902"/>
      <c r="G54" s="903"/>
      <c r="H54" s="901"/>
      <c r="I54" s="902"/>
      <c r="J54" s="902"/>
      <c r="K54" s="902"/>
      <c r="L54" s="903"/>
    </row>
    <row r="55" spans="1:12" x14ac:dyDescent="0.25">
      <c r="B55" s="886"/>
      <c r="C55" s="916"/>
      <c r="D55" s="916"/>
      <c r="E55" s="916"/>
      <c r="F55" s="916"/>
      <c r="G55" s="888"/>
      <c r="H55" s="886"/>
      <c r="I55" s="887"/>
      <c r="J55" s="887"/>
      <c r="K55" s="887"/>
      <c r="L55" s="888"/>
    </row>
    <row r="56" spans="1:12" x14ac:dyDescent="0.25">
      <c r="B56" s="886"/>
      <c r="C56" s="916"/>
      <c r="D56" s="916"/>
      <c r="E56" s="916"/>
      <c r="F56" s="916"/>
      <c r="G56" s="888"/>
      <c r="H56" s="886"/>
      <c r="I56" s="887"/>
      <c r="J56" s="887"/>
      <c r="K56" s="887"/>
      <c r="L56" s="888"/>
    </row>
    <row r="57" spans="1:12" x14ac:dyDescent="0.25">
      <c r="B57" s="886"/>
      <c r="C57" s="916"/>
      <c r="D57" s="916"/>
      <c r="E57" s="916"/>
      <c r="F57" s="916"/>
      <c r="G57" s="888"/>
      <c r="H57" s="886"/>
      <c r="I57" s="887"/>
      <c r="J57" s="887"/>
      <c r="K57" s="887"/>
      <c r="L57" s="888"/>
    </row>
    <row r="58" spans="1:12" x14ac:dyDescent="0.25">
      <c r="B58" s="886"/>
      <c r="C58" s="916"/>
      <c r="D58" s="916"/>
      <c r="E58" s="916"/>
      <c r="F58" s="916"/>
      <c r="G58" s="888"/>
      <c r="H58" s="886"/>
      <c r="I58" s="887"/>
      <c r="J58" s="887"/>
      <c r="K58" s="887"/>
      <c r="L58" s="888"/>
    </row>
    <row r="59" spans="1:12" x14ac:dyDescent="0.25">
      <c r="B59" s="886"/>
      <c r="C59" s="916"/>
      <c r="D59" s="916"/>
      <c r="E59" s="916"/>
      <c r="F59" s="916"/>
      <c r="G59" s="888"/>
      <c r="H59" s="886"/>
      <c r="I59" s="887"/>
      <c r="J59" s="887"/>
      <c r="K59" s="887"/>
      <c r="L59" s="888"/>
    </row>
    <row r="60" spans="1:12" x14ac:dyDescent="0.25">
      <c r="B60" s="886"/>
      <c r="C60" s="916"/>
      <c r="D60" s="916"/>
      <c r="E60" s="916"/>
      <c r="F60" s="916"/>
      <c r="G60" s="888"/>
      <c r="H60" s="886"/>
      <c r="I60" s="887"/>
      <c r="J60" s="887"/>
      <c r="K60" s="887"/>
      <c r="L60" s="888"/>
    </row>
    <row r="61" spans="1:12" x14ac:dyDescent="0.25">
      <c r="B61" s="886"/>
      <c r="C61" s="916"/>
      <c r="D61" s="916"/>
      <c r="E61" s="916"/>
      <c r="F61" s="916"/>
      <c r="G61" s="888"/>
      <c r="H61" s="886"/>
      <c r="I61" s="887"/>
      <c r="J61" s="887"/>
      <c r="K61" s="887"/>
      <c r="L61" s="888"/>
    </row>
    <row r="62" spans="1:12" x14ac:dyDescent="0.25">
      <c r="B62" s="886"/>
      <c r="C62" s="916"/>
      <c r="D62" s="916"/>
      <c r="E62" s="916"/>
      <c r="F62" s="916"/>
      <c r="G62" s="888"/>
      <c r="H62" s="886"/>
      <c r="I62" s="887"/>
      <c r="J62" s="887"/>
      <c r="K62" s="887"/>
      <c r="L62" s="888"/>
    </row>
    <row r="63" spans="1:12" x14ac:dyDescent="0.25">
      <c r="B63" s="886"/>
      <c r="C63" s="916"/>
      <c r="D63" s="916"/>
      <c r="E63" s="916"/>
      <c r="F63" s="916"/>
      <c r="G63" s="888"/>
      <c r="H63" s="886"/>
      <c r="I63" s="887"/>
      <c r="J63" s="887"/>
      <c r="K63" s="887"/>
      <c r="L63" s="888"/>
    </row>
    <row r="64" spans="1:12" x14ac:dyDescent="0.25">
      <c r="B64" s="886"/>
      <c r="C64" s="916"/>
      <c r="D64" s="916"/>
      <c r="E64" s="916"/>
      <c r="F64" s="916"/>
      <c r="G64" s="888"/>
      <c r="H64" s="886"/>
      <c r="I64" s="887"/>
      <c r="J64" s="887"/>
      <c r="K64" s="887"/>
      <c r="L64" s="888"/>
    </row>
    <row r="65" spans="2:12" x14ac:dyDescent="0.25">
      <c r="B65" s="886"/>
      <c r="C65" s="916"/>
      <c r="D65" s="916"/>
      <c r="E65" s="916"/>
      <c r="F65" s="916"/>
      <c r="G65" s="888"/>
      <c r="H65" s="886"/>
      <c r="I65" s="887"/>
      <c r="J65" s="887"/>
      <c r="K65" s="887"/>
      <c r="L65" s="888"/>
    </row>
    <row r="66" spans="2:12" x14ac:dyDescent="0.25">
      <c r="B66" s="886"/>
      <c r="C66" s="916"/>
      <c r="D66" s="916"/>
      <c r="E66" s="916"/>
      <c r="F66" s="916"/>
      <c r="G66" s="888"/>
      <c r="H66" s="886"/>
      <c r="I66" s="887"/>
      <c r="J66" s="887"/>
      <c r="K66" s="887"/>
      <c r="L66" s="888"/>
    </row>
    <row r="67" spans="2:12" ht="15.75" thickBot="1" x14ac:dyDescent="0.3">
      <c r="B67" s="917"/>
      <c r="C67" s="918"/>
      <c r="D67" s="918"/>
      <c r="E67" s="918"/>
      <c r="F67" s="918"/>
      <c r="G67" s="919"/>
      <c r="H67" s="886"/>
      <c r="I67" s="887"/>
      <c r="J67" s="887"/>
      <c r="K67" s="887"/>
      <c r="L67" s="888"/>
    </row>
    <row r="68" spans="2:12" x14ac:dyDescent="0.25">
      <c r="B68" s="904"/>
      <c r="C68" s="905"/>
      <c r="D68" s="905"/>
      <c r="E68" s="905"/>
      <c r="F68" s="905"/>
      <c r="G68" s="906"/>
      <c r="H68" s="910"/>
      <c r="I68" s="911"/>
      <c r="J68" s="911"/>
      <c r="K68" s="911"/>
      <c r="L68" s="912"/>
    </row>
    <row r="69" spans="2:12" ht="15.75" thickBot="1" x14ac:dyDescent="0.3">
      <c r="B69" s="907"/>
      <c r="C69" s="908"/>
      <c r="D69" s="908"/>
      <c r="E69" s="908"/>
      <c r="F69" s="908"/>
      <c r="G69" s="909"/>
      <c r="H69" s="913"/>
      <c r="I69" s="914"/>
      <c r="J69" s="914"/>
      <c r="K69" s="914"/>
      <c r="L69" s="915"/>
    </row>
    <row r="70" spans="2:12" x14ac:dyDescent="0.25">
      <c r="B70" s="901" t="s">
        <v>504</v>
      </c>
      <c r="C70" s="902"/>
      <c r="D70" s="902"/>
      <c r="E70" s="902"/>
      <c r="F70" s="902"/>
      <c r="G70" s="903"/>
      <c r="H70" s="901" t="s">
        <v>505</v>
      </c>
      <c r="I70" s="902"/>
      <c r="J70" s="902"/>
      <c r="K70" s="902"/>
      <c r="L70" s="903"/>
    </row>
    <row r="71" spans="2:12" x14ac:dyDescent="0.25">
      <c r="B71" s="886"/>
      <c r="C71" s="916"/>
      <c r="D71" s="916"/>
      <c r="E71" s="916"/>
      <c r="F71" s="916"/>
      <c r="G71" s="888"/>
      <c r="H71" s="886"/>
      <c r="I71" s="887"/>
      <c r="J71" s="887"/>
      <c r="K71" s="887"/>
      <c r="L71" s="888"/>
    </row>
    <row r="72" spans="2:12" x14ac:dyDescent="0.25">
      <c r="B72" s="886"/>
      <c r="C72" s="916"/>
      <c r="D72" s="916"/>
      <c r="E72" s="916"/>
      <c r="F72" s="916"/>
      <c r="G72" s="888"/>
      <c r="H72" s="886"/>
      <c r="I72" s="887"/>
      <c r="J72" s="887"/>
      <c r="K72" s="887"/>
      <c r="L72" s="888"/>
    </row>
    <row r="73" spans="2:12" x14ac:dyDescent="0.25">
      <c r="B73" s="886"/>
      <c r="C73" s="916"/>
      <c r="D73" s="916"/>
      <c r="E73" s="916"/>
      <c r="F73" s="916"/>
      <c r="G73" s="888"/>
      <c r="H73" s="886"/>
      <c r="I73" s="887"/>
      <c r="J73" s="887"/>
      <c r="K73" s="887"/>
      <c r="L73" s="888"/>
    </row>
    <row r="74" spans="2:12" x14ac:dyDescent="0.25">
      <c r="B74" s="886"/>
      <c r="C74" s="916"/>
      <c r="D74" s="916"/>
      <c r="E74" s="916"/>
      <c r="F74" s="916"/>
      <c r="G74" s="888"/>
      <c r="H74" s="886"/>
      <c r="I74" s="887"/>
      <c r="J74" s="887"/>
      <c r="K74" s="887"/>
      <c r="L74" s="888"/>
    </row>
    <row r="75" spans="2:12" x14ac:dyDescent="0.25">
      <c r="B75" s="886"/>
      <c r="C75" s="916"/>
      <c r="D75" s="916"/>
      <c r="E75" s="916"/>
      <c r="F75" s="916"/>
      <c r="G75" s="888"/>
      <c r="H75" s="886"/>
      <c r="I75" s="887"/>
      <c r="J75" s="887"/>
      <c r="K75" s="887"/>
      <c r="L75" s="888"/>
    </row>
    <row r="76" spans="2:12" x14ac:dyDescent="0.25">
      <c r="B76" s="886"/>
      <c r="C76" s="916"/>
      <c r="D76" s="916"/>
      <c r="E76" s="916"/>
      <c r="F76" s="916"/>
      <c r="G76" s="888"/>
      <c r="H76" s="886"/>
      <c r="I76" s="887"/>
      <c r="J76" s="887"/>
      <c r="K76" s="887"/>
      <c r="L76" s="888"/>
    </row>
    <row r="77" spans="2:12" x14ac:dyDescent="0.25">
      <c r="B77" s="886"/>
      <c r="C77" s="916"/>
      <c r="D77" s="916"/>
      <c r="E77" s="916"/>
      <c r="F77" s="916"/>
      <c r="G77" s="888"/>
      <c r="H77" s="886"/>
      <c r="I77" s="887"/>
      <c r="J77" s="887"/>
      <c r="K77" s="887"/>
      <c r="L77" s="888"/>
    </row>
    <row r="78" spans="2:12" x14ac:dyDescent="0.25">
      <c r="B78" s="886"/>
      <c r="C78" s="916"/>
      <c r="D78" s="916"/>
      <c r="E78" s="916"/>
      <c r="F78" s="916"/>
      <c r="G78" s="888"/>
      <c r="H78" s="886"/>
      <c r="I78" s="887"/>
      <c r="J78" s="887"/>
      <c r="K78" s="887"/>
      <c r="L78" s="888"/>
    </row>
    <row r="79" spans="2:12" x14ac:dyDescent="0.25">
      <c r="B79" s="886"/>
      <c r="C79" s="916"/>
      <c r="D79" s="916"/>
      <c r="E79" s="916"/>
      <c r="F79" s="916"/>
      <c r="G79" s="888"/>
      <c r="H79" s="886"/>
      <c r="I79" s="887"/>
      <c r="J79" s="887"/>
      <c r="K79" s="887"/>
      <c r="L79" s="888"/>
    </row>
    <row r="80" spans="2:12" x14ac:dyDescent="0.25">
      <c r="B80" s="886"/>
      <c r="C80" s="916"/>
      <c r="D80" s="916"/>
      <c r="E80" s="916"/>
      <c r="F80" s="916"/>
      <c r="G80" s="888"/>
      <c r="H80" s="886"/>
      <c r="I80" s="887"/>
      <c r="J80" s="887"/>
      <c r="K80" s="887"/>
      <c r="L80" s="888"/>
    </row>
    <row r="81" spans="2:12" x14ac:dyDescent="0.25">
      <c r="B81" s="886"/>
      <c r="C81" s="916"/>
      <c r="D81" s="916"/>
      <c r="E81" s="916"/>
      <c r="F81" s="916"/>
      <c r="G81" s="888"/>
      <c r="H81" s="886"/>
      <c r="I81" s="887"/>
      <c r="J81" s="887"/>
      <c r="K81" s="887"/>
      <c r="L81" s="888"/>
    </row>
    <row r="82" spans="2:12" x14ac:dyDescent="0.25">
      <c r="B82" s="886"/>
      <c r="C82" s="916"/>
      <c r="D82" s="916"/>
      <c r="E82" s="916"/>
      <c r="F82" s="916"/>
      <c r="G82" s="888"/>
      <c r="H82" s="886"/>
      <c r="I82" s="887"/>
      <c r="J82" s="887"/>
      <c r="K82" s="887"/>
      <c r="L82" s="888"/>
    </row>
    <row r="83" spans="2:12" ht="15.75" thickBot="1" x14ac:dyDescent="0.3">
      <c r="B83" s="917"/>
      <c r="C83" s="918"/>
      <c r="D83" s="918"/>
      <c r="E83" s="918"/>
      <c r="F83" s="918"/>
      <c r="G83" s="919"/>
      <c r="H83" s="886"/>
      <c r="I83" s="887"/>
      <c r="J83" s="887"/>
      <c r="K83" s="887"/>
      <c r="L83" s="888"/>
    </row>
    <row r="84" spans="2:12" x14ac:dyDescent="0.25">
      <c r="B84" s="904"/>
      <c r="C84" s="905"/>
      <c r="D84" s="905"/>
      <c r="E84" s="905"/>
      <c r="F84" s="905"/>
      <c r="G84" s="906"/>
      <c r="H84" s="910"/>
      <c r="I84" s="911"/>
      <c r="J84" s="911"/>
      <c r="K84" s="911"/>
      <c r="L84" s="912"/>
    </row>
    <row r="85" spans="2:12" ht="15.75" thickBot="1" x14ac:dyDescent="0.3">
      <c r="B85" s="907"/>
      <c r="C85" s="908"/>
      <c r="D85" s="908"/>
      <c r="E85" s="908"/>
      <c r="F85" s="908"/>
      <c r="G85" s="909"/>
      <c r="H85" s="913"/>
      <c r="I85" s="914"/>
      <c r="J85" s="914"/>
      <c r="K85" s="914"/>
      <c r="L85" s="915"/>
    </row>
  </sheetData>
  <mergeCells count="27">
    <mergeCell ref="B6:G19"/>
    <mergeCell ref="H6:L19"/>
    <mergeCell ref="B20:G21"/>
    <mergeCell ref="H20:L21"/>
    <mergeCell ref="B22:G35"/>
    <mergeCell ref="H22:L35"/>
    <mergeCell ref="B1:L2"/>
    <mergeCell ref="B3:E3"/>
    <mergeCell ref="G3:I3"/>
    <mergeCell ref="J3:L3"/>
    <mergeCell ref="B4:H5"/>
    <mergeCell ref="K4:L4"/>
    <mergeCell ref="K5:L5"/>
    <mergeCell ref="B36:G37"/>
    <mergeCell ref="H36:L37"/>
    <mergeCell ref="B38:G51"/>
    <mergeCell ref="H38:L51"/>
    <mergeCell ref="B70:G83"/>
    <mergeCell ref="H70:L83"/>
    <mergeCell ref="B84:G85"/>
    <mergeCell ref="H84:L85"/>
    <mergeCell ref="B52:G53"/>
    <mergeCell ref="H52:L53"/>
    <mergeCell ref="B54:G67"/>
    <mergeCell ref="H54:L67"/>
    <mergeCell ref="B68:G69"/>
    <mergeCell ref="H68:L69"/>
  </mergeCells>
  <pageMargins left="0.7" right="0.7" top="0.75" bottom="0.75" header="0.3" footer="0.3"/>
  <pageSetup paperSize="9" orientation="portrait" horizontalDpi="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N18" sqref="N18"/>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2.5703125" style="131" customWidth="1"/>
    <col min="7" max="7" width="10" style="131" customWidth="1"/>
    <col min="8" max="8" width="9" style="131" customWidth="1"/>
    <col min="9" max="9" width="23.5703125" style="131" customWidth="1"/>
    <col min="10" max="10" width="13.7109375" style="131" customWidth="1"/>
    <col min="11" max="11" width="14.140625" style="131" customWidth="1"/>
    <col min="12" max="12" width="10" style="131" customWidth="1"/>
    <col min="13" max="13" width="12" style="131" hidden="1" customWidth="1"/>
    <col min="14" max="16384" width="12" style="131"/>
  </cols>
  <sheetData>
    <row r="1" spans="2:12" ht="27.75" customHeight="1" x14ac:dyDescent="0.25">
      <c r="B1" s="939" t="s">
        <v>252</v>
      </c>
      <c r="C1" s="871"/>
      <c r="D1" s="871"/>
      <c r="E1" s="871"/>
      <c r="F1" s="871"/>
      <c r="G1" s="871"/>
      <c r="H1" s="871"/>
      <c r="I1" s="871"/>
      <c r="J1" s="871"/>
      <c r="K1" s="871"/>
      <c r="L1" s="921"/>
    </row>
    <row r="2" spans="2:12" ht="11.25" customHeight="1" x14ac:dyDescent="0.25">
      <c r="B2" s="940"/>
      <c r="C2" s="872"/>
      <c r="D2" s="872"/>
      <c r="E2" s="872"/>
      <c r="F2" s="872"/>
      <c r="G2" s="872"/>
      <c r="H2" s="872"/>
      <c r="I2" s="872"/>
      <c r="J2" s="872"/>
      <c r="K2" s="872"/>
      <c r="L2" s="923"/>
    </row>
    <row r="3" spans="2:12" ht="24.95" customHeight="1" x14ac:dyDescent="0.25">
      <c r="B3" s="926" t="s">
        <v>290</v>
      </c>
      <c r="C3" s="924"/>
      <c r="D3" s="924"/>
      <c r="E3" s="925"/>
      <c r="F3" s="97">
        <v>44189</v>
      </c>
      <c r="G3" s="926" t="s">
        <v>291</v>
      </c>
      <c r="H3" s="924"/>
      <c r="I3" s="925"/>
      <c r="J3" s="927">
        <v>44195</v>
      </c>
      <c r="K3" s="941"/>
      <c r="L3" s="942"/>
    </row>
    <row r="4" spans="2:12" ht="24.95" customHeight="1" x14ac:dyDescent="0.25">
      <c r="B4" s="943" t="s">
        <v>251</v>
      </c>
      <c r="C4" s="928"/>
      <c r="D4" s="928"/>
      <c r="E4" s="928"/>
      <c r="F4" s="928"/>
      <c r="G4" s="928"/>
      <c r="H4" s="929"/>
      <c r="I4" s="340" t="s">
        <v>490</v>
      </c>
      <c r="J4" s="340" t="s">
        <v>2</v>
      </c>
      <c r="K4" s="884" t="s">
        <v>0</v>
      </c>
      <c r="L4" s="932"/>
    </row>
    <row r="5" spans="2:12" ht="24.95" customHeight="1" thickBot="1" x14ac:dyDescent="0.3">
      <c r="B5" s="944"/>
      <c r="C5" s="945"/>
      <c r="D5" s="945"/>
      <c r="E5" s="945"/>
      <c r="F5" s="945"/>
      <c r="G5" s="945"/>
      <c r="H5" s="946"/>
      <c r="I5" s="81" t="s">
        <v>491</v>
      </c>
      <c r="J5" s="134">
        <v>2</v>
      </c>
      <c r="K5" s="947" t="s">
        <v>292</v>
      </c>
      <c r="L5" s="948"/>
    </row>
    <row r="6" spans="2:12" ht="24.95" customHeight="1" thickBot="1" x14ac:dyDescent="0.3">
      <c r="B6" s="954" t="s">
        <v>510</v>
      </c>
      <c r="C6" s="955"/>
      <c r="D6" s="955"/>
      <c r="E6" s="955"/>
      <c r="F6" s="955"/>
      <c r="G6" s="955"/>
      <c r="H6" s="955"/>
      <c r="I6" s="955"/>
      <c r="J6" s="955"/>
      <c r="K6" s="955"/>
      <c r="L6" s="956"/>
    </row>
    <row r="7" spans="2:12" ht="15.75" customHeight="1" x14ac:dyDescent="0.25">
      <c r="B7" s="886" t="s">
        <v>453</v>
      </c>
      <c r="C7" s="887"/>
      <c r="D7" s="887"/>
      <c r="E7" s="887"/>
      <c r="F7" s="887"/>
      <c r="G7" s="888"/>
      <c r="H7" s="886" t="s">
        <v>454</v>
      </c>
      <c r="I7" s="887"/>
      <c r="J7" s="887"/>
      <c r="K7" s="887"/>
      <c r="L7" s="888"/>
    </row>
    <row r="8" spans="2:12" x14ac:dyDescent="0.25">
      <c r="B8" s="886"/>
      <c r="C8" s="887"/>
      <c r="D8" s="887"/>
      <c r="E8" s="887"/>
      <c r="F8" s="887"/>
      <c r="G8" s="888"/>
      <c r="H8" s="886"/>
      <c r="I8" s="887"/>
      <c r="J8" s="887"/>
      <c r="K8" s="887"/>
      <c r="L8" s="888"/>
    </row>
    <row r="9" spans="2:12" x14ac:dyDescent="0.25">
      <c r="B9" s="886"/>
      <c r="C9" s="887"/>
      <c r="D9" s="887"/>
      <c r="E9" s="887"/>
      <c r="F9" s="887"/>
      <c r="G9" s="888"/>
      <c r="H9" s="886"/>
      <c r="I9" s="887"/>
      <c r="J9" s="887"/>
      <c r="K9" s="887"/>
      <c r="L9" s="888"/>
    </row>
    <row r="10" spans="2:12" x14ac:dyDescent="0.25">
      <c r="B10" s="886"/>
      <c r="C10" s="887"/>
      <c r="D10" s="887"/>
      <c r="E10" s="887"/>
      <c r="F10" s="887"/>
      <c r="G10" s="888"/>
      <c r="H10" s="886"/>
      <c r="I10" s="887"/>
      <c r="J10" s="887"/>
      <c r="K10" s="887"/>
      <c r="L10" s="888"/>
    </row>
    <row r="11" spans="2:12" x14ac:dyDescent="0.25">
      <c r="B11" s="886"/>
      <c r="C11" s="887"/>
      <c r="D11" s="887"/>
      <c r="E11" s="887"/>
      <c r="F11" s="887"/>
      <c r="G11" s="888"/>
      <c r="H11" s="886"/>
      <c r="I11" s="887"/>
      <c r="J11" s="887"/>
      <c r="K11" s="887"/>
      <c r="L11" s="888"/>
    </row>
    <row r="12" spans="2:12" x14ac:dyDescent="0.25">
      <c r="B12" s="886"/>
      <c r="C12" s="887"/>
      <c r="D12" s="887"/>
      <c r="E12" s="887"/>
      <c r="F12" s="887"/>
      <c r="G12" s="888"/>
      <c r="H12" s="886"/>
      <c r="I12" s="887"/>
      <c r="J12" s="887"/>
      <c r="K12" s="887"/>
      <c r="L12" s="888"/>
    </row>
    <row r="13" spans="2:12" x14ac:dyDescent="0.25">
      <c r="B13" s="886"/>
      <c r="C13" s="887"/>
      <c r="D13" s="887"/>
      <c r="E13" s="887"/>
      <c r="F13" s="887"/>
      <c r="G13" s="888"/>
      <c r="H13" s="886"/>
      <c r="I13" s="887"/>
      <c r="J13" s="887"/>
      <c r="K13" s="887"/>
      <c r="L13" s="888"/>
    </row>
    <row r="14" spans="2:12" x14ac:dyDescent="0.25">
      <c r="B14" s="886"/>
      <c r="C14" s="887"/>
      <c r="D14" s="887"/>
      <c r="E14" s="887"/>
      <c r="F14" s="887"/>
      <c r="G14" s="888"/>
      <c r="H14" s="886"/>
      <c r="I14" s="887"/>
      <c r="J14" s="887"/>
      <c r="K14" s="887"/>
      <c r="L14" s="888"/>
    </row>
    <row r="15" spans="2:12" x14ac:dyDescent="0.25">
      <c r="B15" s="886"/>
      <c r="C15" s="887"/>
      <c r="D15" s="887"/>
      <c r="E15" s="887"/>
      <c r="F15" s="887"/>
      <c r="G15" s="888"/>
      <c r="H15" s="886"/>
      <c r="I15" s="887"/>
      <c r="J15" s="887"/>
      <c r="K15" s="887"/>
      <c r="L15" s="888"/>
    </row>
    <row r="16" spans="2:12" x14ac:dyDescent="0.25">
      <c r="B16" s="886"/>
      <c r="C16" s="887"/>
      <c r="D16" s="887"/>
      <c r="E16" s="887"/>
      <c r="F16" s="887"/>
      <c r="G16" s="888"/>
      <c r="H16" s="886"/>
      <c r="I16" s="887"/>
      <c r="J16" s="887"/>
      <c r="K16" s="887"/>
      <c r="L16" s="888"/>
    </row>
    <row r="17" spans="2:13" x14ac:dyDescent="0.25">
      <c r="B17" s="886"/>
      <c r="C17" s="887"/>
      <c r="D17" s="887"/>
      <c r="E17" s="887"/>
      <c r="F17" s="887"/>
      <c r="G17" s="888"/>
      <c r="H17" s="886"/>
      <c r="I17" s="887"/>
      <c r="J17" s="887"/>
      <c r="K17" s="887"/>
      <c r="L17" s="888"/>
    </row>
    <row r="18" spans="2:13" x14ac:dyDescent="0.25">
      <c r="B18" s="886"/>
      <c r="C18" s="887"/>
      <c r="D18" s="887"/>
      <c r="E18" s="887"/>
      <c r="F18" s="887"/>
      <c r="G18" s="888"/>
      <c r="H18" s="886"/>
      <c r="I18" s="887"/>
      <c r="J18" s="887"/>
      <c r="K18" s="887"/>
      <c r="L18" s="888"/>
    </row>
    <row r="19" spans="2:13" x14ac:dyDescent="0.25">
      <c r="B19" s="886"/>
      <c r="C19" s="887"/>
      <c r="D19" s="887"/>
      <c r="E19" s="887"/>
      <c r="F19" s="887"/>
      <c r="G19" s="888"/>
      <c r="H19" s="886"/>
      <c r="I19" s="887"/>
      <c r="J19" s="887"/>
      <c r="K19" s="887"/>
      <c r="L19" s="888"/>
    </row>
    <row r="20" spans="2:13" ht="15.75" thickBot="1" x14ac:dyDescent="0.3">
      <c r="B20" s="886"/>
      <c r="C20" s="887"/>
      <c r="D20" s="887"/>
      <c r="E20" s="887"/>
      <c r="F20" s="887"/>
      <c r="G20" s="888"/>
      <c r="H20" s="886"/>
      <c r="I20" s="887"/>
      <c r="J20" s="887"/>
      <c r="K20" s="887"/>
      <c r="L20" s="888"/>
    </row>
    <row r="21" spans="2:13" ht="15" customHeight="1" x14ac:dyDescent="0.25">
      <c r="B21" s="957" t="s">
        <v>1211</v>
      </c>
      <c r="C21" s="958"/>
      <c r="D21" s="958"/>
      <c r="E21" s="958"/>
      <c r="F21" s="958"/>
      <c r="G21" s="959"/>
      <c r="H21" s="957" t="s">
        <v>1212</v>
      </c>
      <c r="I21" s="958"/>
      <c r="J21" s="958"/>
      <c r="K21" s="958"/>
      <c r="L21" s="958"/>
      <c r="M21" s="963"/>
    </row>
    <row r="22" spans="2:13" ht="37.5" customHeight="1" thickBot="1" x14ac:dyDescent="0.3">
      <c r="B22" s="960"/>
      <c r="C22" s="961"/>
      <c r="D22" s="961"/>
      <c r="E22" s="961"/>
      <c r="F22" s="961"/>
      <c r="G22" s="962"/>
      <c r="H22" s="960"/>
      <c r="I22" s="961"/>
      <c r="J22" s="961"/>
      <c r="K22" s="961"/>
      <c r="L22" s="961"/>
      <c r="M22" s="964"/>
    </row>
    <row r="23" spans="2:13" ht="15.75" customHeight="1" x14ac:dyDescent="0.25">
      <c r="B23" s="901" t="s">
        <v>502</v>
      </c>
      <c r="C23" s="902"/>
      <c r="D23" s="902"/>
      <c r="E23" s="902"/>
      <c r="F23" s="902"/>
      <c r="G23" s="903"/>
      <c r="H23" s="901" t="s">
        <v>503</v>
      </c>
      <c r="I23" s="902"/>
      <c r="J23" s="902"/>
      <c r="K23" s="902"/>
      <c r="L23" s="903"/>
    </row>
    <row r="24" spans="2:13" x14ac:dyDescent="0.25">
      <c r="B24" s="886"/>
      <c r="C24" s="887"/>
      <c r="D24" s="887"/>
      <c r="E24" s="887"/>
      <c r="F24" s="887"/>
      <c r="G24" s="888"/>
      <c r="H24" s="886"/>
      <c r="I24" s="887"/>
      <c r="J24" s="887"/>
      <c r="K24" s="887"/>
      <c r="L24" s="888"/>
    </row>
    <row r="25" spans="2:13" x14ac:dyDescent="0.25">
      <c r="B25" s="886"/>
      <c r="C25" s="887"/>
      <c r="D25" s="887"/>
      <c r="E25" s="887"/>
      <c r="F25" s="887"/>
      <c r="G25" s="888"/>
      <c r="H25" s="886"/>
      <c r="I25" s="887"/>
      <c r="J25" s="887"/>
      <c r="K25" s="887"/>
      <c r="L25" s="888"/>
    </row>
    <row r="26" spans="2:13" x14ac:dyDescent="0.25">
      <c r="B26" s="886"/>
      <c r="C26" s="887"/>
      <c r="D26" s="887"/>
      <c r="E26" s="887"/>
      <c r="F26" s="887"/>
      <c r="G26" s="888"/>
      <c r="H26" s="886"/>
      <c r="I26" s="887"/>
      <c r="J26" s="887"/>
      <c r="K26" s="887"/>
      <c r="L26" s="888"/>
    </row>
    <row r="27" spans="2:13" x14ac:dyDescent="0.25">
      <c r="B27" s="886"/>
      <c r="C27" s="887"/>
      <c r="D27" s="887"/>
      <c r="E27" s="887"/>
      <c r="F27" s="887"/>
      <c r="G27" s="888"/>
      <c r="H27" s="886"/>
      <c r="I27" s="887"/>
      <c r="J27" s="887"/>
      <c r="K27" s="887"/>
      <c r="L27" s="888"/>
    </row>
    <row r="28" spans="2:13" x14ac:dyDescent="0.25">
      <c r="B28" s="886"/>
      <c r="C28" s="887"/>
      <c r="D28" s="887"/>
      <c r="E28" s="887"/>
      <c r="F28" s="887"/>
      <c r="G28" s="888"/>
      <c r="H28" s="886"/>
      <c r="I28" s="887"/>
      <c r="J28" s="887"/>
      <c r="K28" s="887"/>
      <c r="L28" s="888"/>
    </row>
    <row r="29" spans="2:13" x14ac:dyDescent="0.25">
      <c r="B29" s="886"/>
      <c r="C29" s="887"/>
      <c r="D29" s="887"/>
      <c r="E29" s="887"/>
      <c r="F29" s="887"/>
      <c r="G29" s="888"/>
      <c r="H29" s="886"/>
      <c r="I29" s="887"/>
      <c r="J29" s="887"/>
      <c r="K29" s="887"/>
      <c r="L29" s="888"/>
    </row>
    <row r="30" spans="2:13" x14ac:dyDescent="0.25">
      <c r="B30" s="886"/>
      <c r="C30" s="887"/>
      <c r="D30" s="887"/>
      <c r="E30" s="887"/>
      <c r="F30" s="887"/>
      <c r="G30" s="888"/>
      <c r="H30" s="886"/>
      <c r="I30" s="887"/>
      <c r="J30" s="887"/>
      <c r="K30" s="887"/>
      <c r="L30" s="888"/>
    </row>
    <row r="31" spans="2:13" x14ac:dyDescent="0.25">
      <c r="B31" s="886"/>
      <c r="C31" s="887"/>
      <c r="D31" s="887"/>
      <c r="E31" s="887"/>
      <c r="F31" s="887"/>
      <c r="G31" s="888"/>
      <c r="H31" s="886"/>
      <c r="I31" s="887"/>
      <c r="J31" s="887"/>
      <c r="K31" s="887"/>
      <c r="L31" s="888"/>
    </row>
    <row r="32" spans="2:13" x14ac:dyDescent="0.25">
      <c r="B32" s="886"/>
      <c r="C32" s="887"/>
      <c r="D32" s="887"/>
      <c r="E32" s="887"/>
      <c r="F32" s="887"/>
      <c r="G32" s="888"/>
      <c r="H32" s="886"/>
      <c r="I32" s="887"/>
      <c r="J32" s="887"/>
      <c r="K32" s="887"/>
      <c r="L32" s="888"/>
    </row>
    <row r="33" spans="2:13" x14ac:dyDescent="0.25">
      <c r="B33" s="886"/>
      <c r="C33" s="887"/>
      <c r="D33" s="887"/>
      <c r="E33" s="887"/>
      <c r="F33" s="887"/>
      <c r="G33" s="888"/>
      <c r="H33" s="886"/>
      <c r="I33" s="887"/>
      <c r="J33" s="887"/>
      <c r="K33" s="887"/>
      <c r="L33" s="888"/>
    </row>
    <row r="34" spans="2:13" x14ac:dyDescent="0.25">
      <c r="B34" s="886"/>
      <c r="C34" s="887"/>
      <c r="D34" s="887"/>
      <c r="E34" s="887"/>
      <c r="F34" s="887"/>
      <c r="G34" s="888"/>
      <c r="H34" s="886"/>
      <c r="I34" s="887"/>
      <c r="J34" s="887"/>
      <c r="K34" s="887"/>
      <c r="L34" s="888"/>
    </row>
    <row r="35" spans="2:13" x14ac:dyDescent="0.25">
      <c r="B35" s="886"/>
      <c r="C35" s="887"/>
      <c r="D35" s="887"/>
      <c r="E35" s="887"/>
      <c r="F35" s="887"/>
      <c r="G35" s="888"/>
      <c r="H35" s="886"/>
      <c r="I35" s="887"/>
      <c r="J35" s="887"/>
      <c r="K35" s="887"/>
      <c r="L35" s="888"/>
    </row>
    <row r="36" spans="2:13" ht="15.75" thickBot="1" x14ac:dyDescent="0.3">
      <c r="B36" s="886"/>
      <c r="C36" s="887"/>
      <c r="D36" s="887"/>
      <c r="E36" s="887"/>
      <c r="F36" s="887"/>
      <c r="G36" s="888"/>
      <c r="H36" s="886"/>
      <c r="I36" s="887"/>
      <c r="J36" s="887"/>
      <c r="K36" s="887"/>
      <c r="L36" s="888"/>
    </row>
    <row r="37" spans="2:13" ht="15" customHeight="1" x14ac:dyDescent="0.25">
      <c r="B37" s="963" t="s">
        <v>1213</v>
      </c>
      <c r="C37" s="965"/>
      <c r="D37" s="965"/>
      <c r="E37" s="965"/>
      <c r="F37" s="965"/>
      <c r="G37" s="966"/>
      <c r="H37" s="957" t="s">
        <v>1214</v>
      </c>
      <c r="I37" s="958"/>
      <c r="J37" s="958"/>
      <c r="K37" s="958"/>
      <c r="L37" s="958"/>
      <c r="M37" s="949"/>
    </row>
    <row r="38" spans="2:13" ht="35.25" customHeight="1" thickBot="1" x14ac:dyDescent="0.3">
      <c r="B38" s="964"/>
      <c r="C38" s="967"/>
      <c r="D38" s="967"/>
      <c r="E38" s="967"/>
      <c r="F38" s="967"/>
      <c r="G38" s="968"/>
      <c r="H38" s="960"/>
      <c r="I38" s="961"/>
      <c r="J38" s="961"/>
      <c r="K38" s="961"/>
      <c r="L38" s="961"/>
      <c r="M38" s="950"/>
    </row>
    <row r="39" spans="2:13" ht="26.25" customHeight="1" thickBot="1" x14ac:dyDescent="0.3">
      <c r="B39" s="951" t="s">
        <v>511</v>
      </c>
      <c r="C39" s="952"/>
      <c r="D39" s="952"/>
      <c r="E39" s="952"/>
      <c r="F39" s="952"/>
      <c r="G39" s="952"/>
      <c r="H39" s="952"/>
      <c r="I39" s="952"/>
      <c r="J39" s="952"/>
      <c r="K39" s="952"/>
      <c r="L39" s="953"/>
      <c r="M39" s="284"/>
    </row>
    <row r="40" spans="2:13" x14ac:dyDescent="0.25">
      <c r="B40" s="901" t="s">
        <v>504</v>
      </c>
      <c r="C40" s="902"/>
      <c r="D40" s="902"/>
      <c r="E40" s="902"/>
      <c r="F40" s="902"/>
      <c r="G40" s="903"/>
      <c r="H40" s="901" t="s">
        <v>505</v>
      </c>
      <c r="I40" s="902"/>
      <c r="J40" s="902"/>
      <c r="K40" s="902"/>
      <c r="L40" s="903"/>
    </row>
    <row r="41" spans="2:13" x14ac:dyDescent="0.25">
      <c r="B41" s="886"/>
      <c r="C41" s="887"/>
      <c r="D41" s="887"/>
      <c r="E41" s="887"/>
      <c r="F41" s="887"/>
      <c r="G41" s="888"/>
      <c r="H41" s="886"/>
      <c r="I41" s="887"/>
      <c r="J41" s="887"/>
      <c r="K41" s="887"/>
      <c r="L41" s="888"/>
    </row>
    <row r="42" spans="2:13" x14ac:dyDescent="0.25">
      <c r="B42" s="886"/>
      <c r="C42" s="887"/>
      <c r="D42" s="887"/>
      <c r="E42" s="887"/>
      <c r="F42" s="887"/>
      <c r="G42" s="888"/>
      <c r="H42" s="886"/>
      <c r="I42" s="887"/>
      <c r="J42" s="887"/>
      <c r="K42" s="887"/>
      <c r="L42" s="888"/>
    </row>
    <row r="43" spans="2:13" x14ac:dyDescent="0.25">
      <c r="B43" s="886"/>
      <c r="C43" s="887"/>
      <c r="D43" s="887"/>
      <c r="E43" s="887"/>
      <c r="F43" s="887"/>
      <c r="G43" s="888"/>
      <c r="H43" s="886"/>
      <c r="I43" s="887"/>
      <c r="J43" s="887"/>
      <c r="K43" s="887"/>
      <c r="L43" s="888"/>
    </row>
    <row r="44" spans="2:13" x14ac:dyDescent="0.25">
      <c r="B44" s="886"/>
      <c r="C44" s="887"/>
      <c r="D44" s="887"/>
      <c r="E44" s="887"/>
      <c r="F44" s="887"/>
      <c r="G44" s="888"/>
      <c r="H44" s="886"/>
      <c r="I44" s="887"/>
      <c r="J44" s="887"/>
      <c r="K44" s="887"/>
      <c r="L44" s="888"/>
    </row>
    <row r="45" spans="2:13" x14ac:dyDescent="0.25">
      <c r="B45" s="886"/>
      <c r="C45" s="887"/>
      <c r="D45" s="887"/>
      <c r="E45" s="887"/>
      <c r="F45" s="887"/>
      <c r="G45" s="888"/>
      <c r="H45" s="886"/>
      <c r="I45" s="887"/>
      <c r="J45" s="887"/>
      <c r="K45" s="887"/>
      <c r="L45" s="888"/>
    </row>
    <row r="46" spans="2:13" x14ac:dyDescent="0.25">
      <c r="B46" s="886"/>
      <c r="C46" s="887"/>
      <c r="D46" s="887"/>
      <c r="E46" s="887"/>
      <c r="F46" s="887"/>
      <c r="G46" s="888"/>
      <c r="H46" s="886"/>
      <c r="I46" s="887"/>
      <c r="J46" s="887"/>
      <c r="K46" s="887"/>
      <c r="L46" s="888"/>
    </row>
    <row r="47" spans="2:13" x14ac:dyDescent="0.25">
      <c r="B47" s="886"/>
      <c r="C47" s="887"/>
      <c r="D47" s="887"/>
      <c r="E47" s="887"/>
      <c r="F47" s="887"/>
      <c r="G47" s="888"/>
      <c r="H47" s="886"/>
      <c r="I47" s="887"/>
      <c r="J47" s="887"/>
      <c r="K47" s="887"/>
      <c r="L47" s="888"/>
    </row>
    <row r="48" spans="2:13" x14ac:dyDescent="0.25">
      <c r="B48" s="886"/>
      <c r="C48" s="887"/>
      <c r="D48" s="887"/>
      <c r="E48" s="887"/>
      <c r="F48" s="887"/>
      <c r="G48" s="888"/>
      <c r="H48" s="886"/>
      <c r="I48" s="887"/>
      <c r="J48" s="887"/>
      <c r="K48" s="887"/>
      <c r="L48" s="888"/>
    </row>
    <row r="49" spans="2:13" x14ac:dyDescent="0.25">
      <c r="B49" s="886"/>
      <c r="C49" s="887"/>
      <c r="D49" s="887"/>
      <c r="E49" s="887"/>
      <c r="F49" s="887"/>
      <c r="G49" s="888"/>
      <c r="H49" s="886"/>
      <c r="I49" s="887"/>
      <c r="J49" s="887"/>
      <c r="K49" s="887"/>
      <c r="L49" s="888"/>
    </row>
    <row r="50" spans="2:13" x14ac:dyDescent="0.25">
      <c r="B50" s="886"/>
      <c r="C50" s="887"/>
      <c r="D50" s="887"/>
      <c r="E50" s="887"/>
      <c r="F50" s="887"/>
      <c r="G50" s="888"/>
      <c r="H50" s="886"/>
      <c r="I50" s="887"/>
      <c r="J50" s="887"/>
      <c r="K50" s="887"/>
      <c r="L50" s="888"/>
    </row>
    <row r="51" spans="2:13" x14ac:dyDescent="0.25">
      <c r="B51" s="886"/>
      <c r="C51" s="887"/>
      <c r="D51" s="887"/>
      <c r="E51" s="887"/>
      <c r="F51" s="887"/>
      <c r="G51" s="888"/>
      <c r="H51" s="886"/>
      <c r="I51" s="887"/>
      <c r="J51" s="887"/>
      <c r="K51" s="887"/>
      <c r="L51" s="888"/>
    </row>
    <row r="52" spans="2:13" x14ac:dyDescent="0.25">
      <c r="B52" s="886"/>
      <c r="C52" s="887"/>
      <c r="D52" s="887"/>
      <c r="E52" s="887"/>
      <c r="F52" s="887"/>
      <c r="G52" s="888"/>
      <c r="H52" s="886"/>
      <c r="I52" s="887"/>
      <c r="J52" s="887"/>
      <c r="K52" s="887"/>
      <c r="L52" s="888"/>
    </row>
    <row r="53" spans="2:13" ht="15.75" thickBot="1" x14ac:dyDescent="0.3">
      <c r="B53" s="886"/>
      <c r="C53" s="887"/>
      <c r="D53" s="887"/>
      <c r="E53" s="887"/>
      <c r="F53" s="887"/>
      <c r="G53" s="888"/>
      <c r="H53" s="886"/>
      <c r="I53" s="887"/>
      <c r="J53" s="887"/>
      <c r="K53" s="887"/>
      <c r="L53" s="888"/>
    </row>
    <row r="54" spans="2:13" ht="15" customHeight="1" x14ac:dyDescent="0.25">
      <c r="B54" s="957" t="s">
        <v>1215</v>
      </c>
      <c r="C54" s="958"/>
      <c r="D54" s="958"/>
      <c r="E54" s="958"/>
      <c r="F54" s="958"/>
      <c r="G54" s="959"/>
      <c r="H54" s="957" t="s">
        <v>1216</v>
      </c>
      <c r="I54" s="958"/>
      <c r="J54" s="958"/>
      <c r="K54" s="958"/>
      <c r="L54" s="958"/>
      <c r="M54" s="949"/>
    </row>
    <row r="55" spans="2:13" ht="36" customHeight="1" thickBot="1" x14ac:dyDescent="0.3">
      <c r="B55" s="960"/>
      <c r="C55" s="961"/>
      <c r="D55" s="961"/>
      <c r="E55" s="961"/>
      <c r="F55" s="961"/>
      <c r="G55" s="962"/>
      <c r="H55" s="960"/>
      <c r="I55" s="961"/>
      <c r="J55" s="961"/>
      <c r="K55" s="961"/>
      <c r="L55" s="961"/>
      <c r="M55" s="950"/>
    </row>
    <row r="56" spans="2:13" ht="15" customHeight="1" x14ac:dyDescent="0.25">
      <c r="B56" s="901" t="s">
        <v>504</v>
      </c>
      <c r="C56" s="902"/>
      <c r="D56" s="902"/>
      <c r="E56" s="902"/>
      <c r="F56" s="902"/>
      <c r="G56" s="903"/>
      <c r="H56" s="901" t="s">
        <v>505</v>
      </c>
      <c r="I56" s="902"/>
      <c r="J56" s="902"/>
      <c r="K56" s="902"/>
      <c r="L56" s="903"/>
    </row>
    <row r="57" spans="2:13" ht="15" customHeight="1" x14ac:dyDescent="0.25">
      <c r="B57" s="886"/>
      <c r="C57" s="887"/>
      <c r="D57" s="887"/>
      <c r="E57" s="887"/>
      <c r="F57" s="887"/>
      <c r="G57" s="888"/>
      <c r="H57" s="886"/>
      <c r="I57" s="887"/>
      <c r="J57" s="887"/>
      <c r="K57" s="887"/>
      <c r="L57" s="888"/>
    </row>
    <row r="58" spans="2:13" ht="15" customHeight="1" x14ac:dyDescent="0.25">
      <c r="B58" s="886"/>
      <c r="C58" s="887"/>
      <c r="D58" s="887"/>
      <c r="E58" s="887"/>
      <c r="F58" s="887"/>
      <c r="G58" s="888"/>
      <c r="H58" s="886"/>
      <c r="I58" s="887"/>
      <c r="J58" s="887"/>
      <c r="K58" s="887"/>
      <c r="L58" s="888"/>
    </row>
    <row r="59" spans="2:13" ht="15" customHeight="1" x14ac:dyDescent="0.25">
      <c r="B59" s="886"/>
      <c r="C59" s="887"/>
      <c r="D59" s="887"/>
      <c r="E59" s="887"/>
      <c r="F59" s="887"/>
      <c r="G59" s="888"/>
      <c r="H59" s="886"/>
      <c r="I59" s="887"/>
      <c r="J59" s="887"/>
      <c r="K59" s="887"/>
      <c r="L59" s="888"/>
    </row>
    <row r="60" spans="2:13" ht="15" customHeight="1" x14ac:dyDescent="0.25">
      <c r="B60" s="886"/>
      <c r="C60" s="887"/>
      <c r="D60" s="887"/>
      <c r="E60" s="887"/>
      <c r="F60" s="887"/>
      <c r="G60" s="888"/>
      <c r="H60" s="886"/>
      <c r="I60" s="887"/>
      <c r="J60" s="887"/>
      <c r="K60" s="887"/>
      <c r="L60" s="888"/>
    </row>
    <row r="61" spans="2:13" ht="15" customHeight="1" x14ac:dyDescent="0.25">
      <c r="B61" s="886"/>
      <c r="C61" s="887"/>
      <c r="D61" s="887"/>
      <c r="E61" s="887"/>
      <c r="F61" s="887"/>
      <c r="G61" s="888"/>
      <c r="H61" s="886"/>
      <c r="I61" s="887"/>
      <c r="J61" s="887"/>
      <c r="K61" s="887"/>
      <c r="L61" s="888"/>
    </row>
    <row r="62" spans="2:13" ht="15" customHeight="1" x14ac:dyDescent="0.25">
      <c r="B62" s="886"/>
      <c r="C62" s="887"/>
      <c r="D62" s="887"/>
      <c r="E62" s="887"/>
      <c r="F62" s="887"/>
      <c r="G62" s="888"/>
      <c r="H62" s="886"/>
      <c r="I62" s="887"/>
      <c r="J62" s="887"/>
      <c r="K62" s="887"/>
      <c r="L62" s="888"/>
    </row>
    <row r="63" spans="2:13" ht="15" customHeight="1" x14ac:dyDescent="0.25">
      <c r="B63" s="886"/>
      <c r="C63" s="887"/>
      <c r="D63" s="887"/>
      <c r="E63" s="887"/>
      <c r="F63" s="887"/>
      <c r="G63" s="888"/>
      <c r="H63" s="886"/>
      <c r="I63" s="887"/>
      <c r="J63" s="887"/>
      <c r="K63" s="887"/>
      <c r="L63" s="888"/>
    </row>
    <row r="64" spans="2:13" ht="15" customHeight="1" x14ac:dyDescent="0.25">
      <c r="B64" s="886"/>
      <c r="C64" s="887"/>
      <c r="D64" s="887"/>
      <c r="E64" s="887"/>
      <c r="F64" s="887"/>
      <c r="G64" s="888"/>
      <c r="H64" s="886"/>
      <c r="I64" s="887"/>
      <c r="J64" s="887"/>
      <c r="K64" s="887"/>
      <c r="L64" s="888"/>
    </row>
    <row r="65" spans="2:15" ht="15" customHeight="1" x14ac:dyDescent="0.25">
      <c r="B65" s="886"/>
      <c r="C65" s="887"/>
      <c r="D65" s="887"/>
      <c r="E65" s="887"/>
      <c r="F65" s="887"/>
      <c r="G65" s="888"/>
      <c r="H65" s="886"/>
      <c r="I65" s="887"/>
      <c r="J65" s="887"/>
      <c r="K65" s="887"/>
      <c r="L65" s="888"/>
    </row>
    <row r="66" spans="2:15" ht="15" customHeight="1" x14ac:dyDescent="0.25">
      <c r="B66" s="886"/>
      <c r="C66" s="887"/>
      <c r="D66" s="887"/>
      <c r="E66" s="887"/>
      <c r="F66" s="887"/>
      <c r="G66" s="888"/>
      <c r="H66" s="886"/>
      <c r="I66" s="887"/>
      <c r="J66" s="887"/>
      <c r="K66" s="887"/>
      <c r="L66" s="888"/>
      <c r="O66" s="111"/>
    </row>
    <row r="67" spans="2:15" ht="15" customHeight="1" x14ac:dyDescent="0.25">
      <c r="B67" s="886"/>
      <c r="C67" s="887"/>
      <c r="D67" s="887"/>
      <c r="E67" s="887"/>
      <c r="F67" s="887"/>
      <c r="G67" s="888"/>
      <c r="H67" s="886"/>
      <c r="I67" s="887"/>
      <c r="J67" s="887"/>
      <c r="K67" s="887"/>
      <c r="L67" s="888"/>
    </row>
    <row r="68" spans="2:15" ht="15" customHeight="1" x14ac:dyDescent="0.25">
      <c r="B68" s="886"/>
      <c r="C68" s="887"/>
      <c r="D68" s="887"/>
      <c r="E68" s="887"/>
      <c r="F68" s="887"/>
      <c r="G68" s="888"/>
      <c r="H68" s="886"/>
      <c r="I68" s="887"/>
      <c r="J68" s="887"/>
      <c r="K68" s="887"/>
      <c r="L68" s="888"/>
    </row>
    <row r="69" spans="2:15" ht="15.75" customHeight="1" thickBot="1" x14ac:dyDescent="0.3">
      <c r="B69" s="886"/>
      <c r="C69" s="887"/>
      <c r="D69" s="887"/>
      <c r="E69" s="887"/>
      <c r="F69" s="887"/>
      <c r="G69" s="888"/>
      <c r="H69" s="886"/>
      <c r="I69" s="887"/>
      <c r="J69" s="887"/>
      <c r="K69" s="887"/>
      <c r="L69" s="888"/>
    </row>
    <row r="70" spans="2:15" ht="23.25" customHeight="1" x14ac:dyDescent="0.25">
      <c r="B70" s="957" t="s">
        <v>1101</v>
      </c>
      <c r="C70" s="958"/>
      <c r="D70" s="958"/>
      <c r="E70" s="958"/>
      <c r="F70" s="958"/>
      <c r="G70" s="959"/>
      <c r="H70" s="957" t="s">
        <v>1217</v>
      </c>
      <c r="I70" s="958"/>
      <c r="J70" s="958"/>
      <c r="K70" s="958"/>
      <c r="L70" s="958"/>
      <c r="M70" s="949"/>
    </row>
    <row r="71" spans="2:15" ht="25.5" customHeight="1" thickBot="1" x14ac:dyDescent="0.3">
      <c r="B71" s="960"/>
      <c r="C71" s="961"/>
      <c r="D71" s="961"/>
      <c r="E71" s="961"/>
      <c r="F71" s="961"/>
      <c r="G71" s="962"/>
      <c r="H71" s="960"/>
      <c r="I71" s="961"/>
      <c r="J71" s="961"/>
      <c r="K71" s="961"/>
      <c r="L71" s="961"/>
      <c r="M71" s="950"/>
    </row>
    <row r="72" spans="2:15" ht="25.5" customHeight="1" thickBot="1" x14ac:dyDescent="0.3">
      <c r="B72" s="951" t="s">
        <v>512</v>
      </c>
      <c r="C72" s="952"/>
      <c r="D72" s="952"/>
      <c r="E72" s="952"/>
      <c r="F72" s="952"/>
      <c r="G72" s="952"/>
      <c r="H72" s="952"/>
      <c r="I72" s="952"/>
      <c r="J72" s="952"/>
      <c r="K72" s="952"/>
      <c r="L72" s="953"/>
    </row>
    <row r="73" spans="2:15" x14ac:dyDescent="0.25">
      <c r="B73" s="901" t="s">
        <v>504</v>
      </c>
      <c r="C73" s="902"/>
      <c r="D73" s="902"/>
      <c r="E73" s="902"/>
      <c r="F73" s="902"/>
      <c r="G73" s="903"/>
      <c r="H73" s="901" t="s">
        <v>505</v>
      </c>
      <c r="I73" s="902"/>
      <c r="J73" s="902"/>
      <c r="K73" s="902"/>
      <c r="L73" s="903"/>
    </row>
    <row r="74" spans="2:15" x14ac:dyDescent="0.25">
      <c r="B74" s="886"/>
      <c r="C74" s="887"/>
      <c r="D74" s="887"/>
      <c r="E74" s="887"/>
      <c r="F74" s="887"/>
      <c r="G74" s="888"/>
      <c r="H74" s="886"/>
      <c r="I74" s="887"/>
      <c r="J74" s="887"/>
      <c r="K74" s="887"/>
      <c r="L74" s="888"/>
    </row>
    <row r="75" spans="2:15" x14ac:dyDescent="0.25">
      <c r="B75" s="886"/>
      <c r="C75" s="887"/>
      <c r="D75" s="887"/>
      <c r="E75" s="887"/>
      <c r="F75" s="887"/>
      <c r="G75" s="888"/>
      <c r="H75" s="886"/>
      <c r="I75" s="887"/>
      <c r="J75" s="887"/>
      <c r="K75" s="887"/>
      <c r="L75" s="888"/>
    </row>
    <row r="76" spans="2:15" x14ac:dyDescent="0.25">
      <c r="B76" s="886"/>
      <c r="C76" s="887"/>
      <c r="D76" s="887"/>
      <c r="E76" s="887"/>
      <c r="F76" s="887"/>
      <c r="G76" s="888"/>
      <c r="H76" s="886"/>
      <c r="I76" s="887"/>
      <c r="J76" s="887"/>
      <c r="K76" s="887"/>
      <c r="L76" s="888"/>
    </row>
    <row r="77" spans="2:15" x14ac:dyDescent="0.25">
      <c r="B77" s="886"/>
      <c r="C77" s="887"/>
      <c r="D77" s="887"/>
      <c r="E77" s="887"/>
      <c r="F77" s="887"/>
      <c r="G77" s="888"/>
      <c r="H77" s="886"/>
      <c r="I77" s="887"/>
      <c r="J77" s="887"/>
      <c r="K77" s="887"/>
      <c r="L77" s="888"/>
    </row>
    <row r="78" spans="2:15" x14ac:dyDescent="0.25">
      <c r="B78" s="886"/>
      <c r="C78" s="887"/>
      <c r="D78" s="887"/>
      <c r="E78" s="887"/>
      <c r="F78" s="887"/>
      <c r="G78" s="888"/>
      <c r="H78" s="886"/>
      <c r="I78" s="887"/>
      <c r="J78" s="887"/>
      <c r="K78" s="887"/>
      <c r="L78" s="888"/>
    </row>
    <row r="79" spans="2:15" x14ac:dyDescent="0.25">
      <c r="B79" s="886"/>
      <c r="C79" s="887"/>
      <c r="D79" s="887"/>
      <c r="E79" s="887"/>
      <c r="F79" s="887"/>
      <c r="G79" s="888"/>
      <c r="H79" s="886"/>
      <c r="I79" s="887"/>
      <c r="J79" s="887"/>
      <c r="K79" s="887"/>
      <c r="L79" s="888"/>
    </row>
    <row r="80" spans="2:15" x14ac:dyDescent="0.25">
      <c r="B80" s="886"/>
      <c r="C80" s="887"/>
      <c r="D80" s="887"/>
      <c r="E80" s="887"/>
      <c r="F80" s="887"/>
      <c r="G80" s="888"/>
      <c r="H80" s="886"/>
      <c r="I80" s="887"/>
      <c r="J80" s="887"/>
      <c r="K80" s="887"/>
      <c r="L80" s="888"/>
    </row>
    <row r="81" spans="2:12" x14ac:dyDescent="0.25">
      <c r="B81" s="886"/>
      <c r="C81" s="887"/>
      <c r="D81" s="887"/>
      <c r="E81" s="887"/>
      <c r="F81" s="887"/>
      <c r="G81" s="888"/>
      <c r="H81" s="886"/>
      <c r="I81" s="887"/>
      <c r="J81" s="887"/>
      <c r="K81" s="887"/>
      <c r="L81" s="888"/>
    </row>
    <row r="82" spans="2:12" x14ac:dyDescent="0.25">
      <c r="B82" s="886"/>
      <c r="C82" s="887"/>
      <c r="D82" s="887"/>
      <c r="E82" s="887"/>
      <c r="F82" s="887"/>
      <c r="G82" s="888"/>
      <c r="H82" s="886"/>
      <c r="I82" s="887"/>
      <c r="J82" s="887"/>
      <c r="K82" s="887"/>
      <c r="L82" s="888"/>
    </row>
    <row r="83" spans="2:12" x14ac:dyDescent="0.25">
      <c r="B83" s="886"/>
      <c r="C83" s="887"/>
      <c r="D83" s="887"/>
      <c r="E83" s="887"/>
      <c r="F83" s="887"/>
      <c r="G83" s="888"/>
      <c r="H83" s="886"/>
      <c r="I83" s="887"/>
      <c r="J83" s="887"/>
      <c r="K83" s="887"/>
      <c r="L83" s="888"/>
    </row>
    <row r="84" spans="2:12" x14ac:dyDescent="0.25">
      <c r="B84" s="886"/>
      <c r="C84" s="887"/>
      <c r="D84" s="887"/>
      <c r="E84" s="887"/>
      <c r="F84" s="887"/>
      <c r="G84" s="888"/>
      <c r="H84" s="886"/>
      <c r="I84" s="887"/>
      <c r="J84" s="887"/>
      <c r="K84" s="887"/>
      <c r="L84" s="888"/>
    </row>
    <row r="85" spans="2:12" x14ac:dyDescent="0.25">
      <c r="B85" s="886"/>
      <c r="C85" s="887"/>
      <c r="D85" s="887"/>
      <c r="E85" s="887"/>
      <c r="F85" s="887"/>
      <c r="G85" s="888"/>
      <c r="H85" s="886"/>
      <c r="I85" s="887"/>
      <c r="J85" s="887"/>
      <c r="K85" s="887"/>
      <c r="L85" s="888"/>
    </row>
    <row r="86" spans="2:12" ht="15.75" thickBot="1" x14ac:dyDescent="0.3">
      <c r="B86" s="886"/>
      <c r="C86" s="887"/>
      <c r="D86" s="887"/>
      <c r="E86" s="887"/>
      <c r="F86" s="887"/>
      <c r="G86" s="888"/>
      <c r="H86" s="886"/>
      <c r="I86" s="887"/>
      <c r="J86" s="887"/>
      <c r="K86" s="887"/>
      <c r="L86" s="888"/>
    </row>
    <row r="87" spans="2:12" ht="24.75" customHeight="1" x14ac:dyDescent="0.25">
      <c r="B87" s="975" t="s">
        <v>1130</v>
      </c>
      <c r="C87" s="976"/>
      <c r="D87" s="976"/>
      <c r="E87" s="976"/>
      <c r="F87" s="976"/>
      <c r="G87" s="976"/>
      <c r="H87" s="976"/>
      <c r="I87" s="976"/>
      <c r="J87" s="976"/>
      <c r="K87" s="976"/>
      <c r="L87" s="976"/>
    </row>
    <row r="88" spans="2:12" ht="21" customHeight="1" thickBot="1" x14ac:dyDescent="0.3">
      <c r="B88" s="977"/>
      <c r="C88" s="978"/>
      <c r="D88" s="978"/>
      <c r="E88" s="978"/>
      <c r="F88" s="978"/>
      <c r="G88" s="978"/>
      <c r="H88" s="978"/>
      <c r="I88" s="978"/>
      <c r="J88" s="978"/>
      <c r="K88" s="978"/>
      <c r="L88" s="978"/>
    </row>
    <row r="89" spans="2:12" x14ac:dyDescent="0.25">
      <c r="B89" s="901"/>
      <c r="C89" s="902"/>
      <c r="D89" s="902"/>
      <c r="E89" s="902"/>
      <c r="F89" s="902"/>
      <c r="G89" s="903"/>
      <c r="H89" s="901"/>
      <c r="I89" s="902"/>
      <c r="J89" s="902"/>
      <c r="K89" s="902"/>
      <c r="L89" s="903"/>
    </row>
    <row r="90" spans="2:12" x14ac:dyDescent="0.25">
      <c r="B90" s="886"/>
      <c r="C90" s="887"/>
      <c r="D90" s="887"/>
      <c r="E90" s="887"/>
      <c r="F90" s="887"/>
      <c r="G90" s="888"/>
      <c r="H90" s="886"/>
      <c r="I90" s="887"/>
      <c r="J90" s="887"/>
      <c r="K90" s="887"/>
      <c r="L90" s="888"/>
    </row>
    <row r="91" spans="2:12" x14ac:dyDescent="0.25">
      <c r="B91" s="886"/>
      <c r="C91" s="887"/>
      <c r="D91" s="887"/>
      <c r="E91" s="887"/>
      <c r="F91" s="887"/>
      <c r="G91" s="888"/>
      <c r="H91" s="886"/>
      <c r="I91" s="887"/>
      <c r="J91" s="887"/>
      <c r="K91" s="887"/>
      <c r="L91" s="888"/>
    </row>
    <row r="92" spans="2:12" x14ac:dyDescent="0.25">
      <c r="B92" s="886"/>
      <c r="C92" s="887"/>
      <c r="D92" s="887"/>
      <c r="E92" s="887"/>
      <c r="F92" s="887"/>
      <c r="G92" s="888"/>
      <c r="H92" s="886"/>
      <c r="I92" s="887"/>
      <c r="J92" s="887"/>
      <c r="K92" s="887"/>
      <c r="L92" s="888"/>
    </row>
    <row r="93" spans="2:12" x14ac:dyDescent="0.25">
      <c r="B93" s="886"/>
      <c r="C93" s="887"/>
      <c r="D93" s="887"/>
      <c r="E93" s="887"/>
      <c r="F93" s="887"/>
      <c r="G93" s="888"/>
      <c r="H93" s="886"/>
      <c r="I93" s="887"/>
      <c r="J93" s="887"/>
      <c r="K93" s="887"/>
      <c r="L93" s="888"/>
    </row>
    <row r="94" spans="2:12" x14ac:dyDescent="0.25">
      <c r="B94" s="886"/>
      <c r="C94" s="887"/>
      <c r="D94" s="887"/>
      <c r="E94" s="887"/>
      <c r="F94" s="887"/>
      <c r="G94" s="888"/>
      <c r="H94" s="886"/>
      <c r="I94" s="887"/>
      <c r="J94" s="887"/>
      <c r="K94" s="887"/>
      <c r="L94" s="888"/>
    </row>
    <row r="95" spans="2:12" x14ac:dyDescent="0.25">
      <c r="B95" s="886"/>
      <c r="C95" s="887"/>
      <c r="D95" s="887"/>
      <c r="E95" s="887"/>
      <c r="F95" s="887"/>
      <c r="G95" s="888"/>
      <c r="H95" s="886"/>
      <c r="I95" s="887"/>
      <c r="J95" s="887"/>
      <c r="K95" s="887"/>
      <c r="L95" s="888"/>
    </row>
    <row r="96" spans="2:12" x14ac:dyDescent="0.25">
      <c r="B96" s="886"/>
      <c r="C96" s="887"/>
      <c r="D96" s="887"/>
      <c r="E96" s="887"/>
      <c r="F96" s="887"/>
      <c r="G96" s="888"/>
      <c r="H96" s="886"/>
      <c r="I96" s="887"/>
      <c r="J96" s="887"/>
      <c r="K96" s="887"/>
      <c r="L96" s="888"/>
    </row>
    <row r="97" spans="2:14" x14ac:dyDescent="0.25">
      <c r="B97" s="886"/>
      <c r="C97" s="887"/>
      <c r="D97" s="887"/>
      <c r="E97" s="887"/>
      <c r="F97" s="887"/>
      <c r="G97" s="888"/>
      <c r="H97" s="886"/>
      <c r="I97" s="887"/>
      <c r="J97" s="887"/>
      <c r="K97" s="887"/>
      <c r="L97" s="888"/>
    </row>
    <row r="98" spans="2:14" x14ac:dyDescent="0.25">
      <c r="B98" s="886"/>
      <c r="C98" s="887"/>
      <c r="D98" s="887"/>
      <c r="E98" s="887"/>
      <c r="F98" s="887"/>
      <c r="G98" s="888"/>
      <c r="H98" s="886"/>
      <c r="I98" s="887"/>
      <c r="J98" s="887"/>
      <c r="K98" s="887"/>
      <c r="L98" s="888"/>
    </row>
    <row r="99" spans="2:14" x14ac:dyDescent="0.25">
      <c r="B99" s="886"/>
      <c r="C99" s="887"/>
      <c r="D99" s="887"/>
      <c r="E99" s="887"/>
      <c r="F99" s="887"/>
      <c r="G99" s="888"/>
      <c r="H99" s="886"/>
      <c r="I99" s="887"/>
      <c r="J99" s="887"/>
      <c r="K99" s="887"/>
      <c r="L99" s="888"/>
    </row>
    <row r="100" spans="2:14" x14ac:dyDescent="0.25">
      <c r="B100" s="886"/>
      <c r="C100" s="887"/>
      <c r="D100" s="887"/>
      <c r="E100" s="887"/>
      <c r="F100" s="887"/>
      <c r="G100" s="888"/>
      <c r="H100" s="886"/>
      <c r="I100" s="887"/>
      <c r="J100" s="887"/>
      <c r="K100" s="887"/>
      <c r="L100" s="888"/>
    </row>
    <row r="101" spans="2:14" x14ac:dyDescent="0.25">
      <c r="B101" s="886"/>
      <c r="C101" s="887"/>
      <c r="D101" s="887"/>
      <c r="E101" s="887"/>
      <c r="F101" s="887"/>
      <c r="G101" s="888"/>
      <c r="H101" s="886"/>
      <c r="I101" s="887"/>
      <c r="J101" s="887"/>
      <c r="K101" s="887"/>
      <c r="L101" s="888"/>
    </row>
    <row r="102" spans="2:14" ht="15.75" thickBot="1" x14ac:dyDescent="0.3">
      <c r="B102" s="886"/>
      <c r="C102" s="887"/>
      <c r="D102" s="887"/>
      <c r="E102" s="887"/>
      <c r="F102" s="887"/>
      <c r="G102" s="888"/>
      <c r="H102" s="886"/>
      <c r="I102" s="887"/>
      <c r="J102" s="887"/>
      <c r="K102" s="887"/>
      <c r="L102" s="888"/>
    </row>
    <row r="103" spans="2:14" ht="15.75" customHeight="1" x14ac:dyDescent="0.25">
      <c r="B103" s="969" t="s">
        <v>1218</v>
      </c>
      <c r="C103" s="970"/>
      <c r="D103" s="970"/>
      <c r="E103" s="970"/>
      <c r="F103" s="970"/>
      <c r="G103" s="971"/>
      <c r="H103" s="969" t="s">
        <v>1219</v>
      </c>
      <c r="I103" s="970"/>
      <c r="J103" s="970"/>
      <c r="K103" s="970"/>
      <c r="L103" s="970"/>
    </row>
    <row r="104" spans="2:14" ht="31.5" customHeight="1" thickBot="1" x14ac:dyDescent="0.3">
      <c r="B104" s="972"/>
      <c r="C104" s="973"/>
      <c r="D104" s="973"/>
      <c r="E104" s="973"/>
      <c r="F104" s="973"/>
      <c r="G104" s="974"/>
      <c r="H104" s="972"/>
      <c r="I104" s="973"/>
      <c r="J104" s="973"/>
      <c r="K104" s="973"/>
      <c r="L104" s="973"/>
      <c r="N104" s="135"/>
    </row>
  </sheetData>
  <mergeCells count="37">
    <mergeCell ref="B103:G104"/>
    <mergeCell ref="H103:L104"/>
    <mergeCell ref="B73:G86"/>
    <mergeCell ref="H73:L86"/>
    <mergeCell ref="B87:L88"/>
    <mergeCell ref="B89:G102"/>
    <mergeCell ref="H89:L102"/>
    <mergeCell ref="B72:L72"/>
    <mergeCell ref="B56:G69"/>
    <mergeCell ref="H56:L69"/>
    <mergeCell ref="B54:G55"/>
    <mergeCell ref="H54:L55"/>
    <mergeCell ref="B40:G53"/>
    <mergeCell ref="H40:L53"/>
    <mergeCell ref="M54:M55"/>
    <mergeCell ref="B70:G71"/>
    <mergeCell ref="H70:L71"/>
    <mergeCell ref="M70:M71"/>
    <mergeCell ref="M37:M38"/>
    <mergeCell ref="B39:L39"/>
    <mergeCell ref="B6:L6"/>
    <mergeCell ref="B7:G20"/>
    <mergeCell ref="H7:L20"/>
    <mergeCell ref="B21:G22"/>
    <mergeCell ref="H21:L22"/>
    <mergeCell ref="M21:M22"/>
    <mergeCell ref="B23:G36"/>
    <mergeCell ref="H23:L36"/>
    <mergeCell ref="B37:G38"/>
    <mergeCell ref="H37:L38"/>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P181"/>
  <sheetViews>
    <sheetView view="pageBreakPreview" topLeftCell="A6" zoomScale="85" zoomScaleNormal="100" zoomScaleSheetLayoutView="85" zoomScalePageLayoutView="110" workbookViewId="0">
      <selection activeCell="N19" sqref="N19"/>
    </sheetView>
  </sheetViews>
  <sheetFormatPr baseColWidth="10" defaultColWidth="12" defaultRowHeight="15" x14ac:dyDescent="0.25"/>
  <cols>
    <col min="1" max="1" width="3.85546875" style="131" customWidth="1"/>
    <col min="2" max="2" width="4.85546875" style="131" customWidth="1"/>
    <col min="3" max="3" width="8.7109375" style="131" customWidth="1"/>
    <col min="4" max="4" width="8.42578125" style="131" customWidth="1"/>
    <col min="5" max="5" width="12" style="131"/>
    <col min="6" max="6" width="17.5703125" style="131" customWidth="1"/>
    <col min="7" max="7" width="10" style="131" customWidth="1"/>
    <col min="8" max="8" width="5.7109375" style="131" customWidth="1"/>
    <col min="9" max="9" width="23.5703125" style="131" customWidth="1"/>
    <col min="10" max="10" width="13.7109375" style="131" customWidth="1"/>
    <col min="11" max="11" width="14.140625" style="131" customWidth="1"/>
    <col min="12" max="12" width="3.5703125" style="131" customWidth="1"/>
    <col min="13" max="13" width="12.28515625" style="131" hidden="1" customWidth="1"/>
    <col min="14" max="16384" width="12" style="131"/>
  </cols>
  <sheetData>
    <row r="1" spans="2:12" ht="27.75" customHeight="1" x14ac:dyDescent="0.25">
      <c r="B1" s="939" t="s">
        <v>252</v>
      </c>
      <c r="C1" s="871"/>
      <c r="D1" s="871"/>
      <c r="E1" s="871"/>
      <c r="F1" s="871"/>
      <c r="G1" s="871"/>
      <c r="H1" s="871"/>
      <c r="I1" s="871"/>
      <c r="J1" s="871"/>
      <c r="K1" s="871"/>
      <c r="L1" s="921"/>
    </row>
    <row r="2" spans="2:12" ht="11.25" customHeight="1" x14ac:dyDescent="0.25">
      <c r="B2" s="940"/>
      <c r="C2" s="872"/>
      <c r="D2" s="872"/>
      <c r="E2" s="872"/>
      <c r="F2" s="872"/>
      <c r="G2" s="872"/>
      <c r="H2" s="872"/>
      <c r="I2" s="872"/>
      <c r="J2" s="872"/>
      <c r="K2" s="872"/>
      <c r="L2" s="923"/>
    </row>
    <row r="3" spans="2:12" ht="24.95" customHeight="1" thickBot="1" x14ac:dyDescent="0.3">
      <c r="B3" s="979" t="s">
        <v>290</v>
      </c>
      <c r="C3" s="980"/>
      <c r="D3" s="980"/>
      <c r="E3" s="981"/>
      <c r="F3" s="127">
        <v>44189</v>
      </c>
      <c r="G3" s="979" t="s">
        <v>291</v>
      </c>
      <c r="H3" s="980"/>
      <c r="I3" s="925"/>
      <c r="J3" s="982">
        <v>44195</v>
      </c>
      <c r="K3" s="983"/>
      <c r="L3" s="984"/>
    </row>
    <row r="4" spans="2:12" ht="24.95" customHeight="1" x14ac:dyDescent="0.25">
      <c r="B4" s="985" t="s">
        <v>251</v>
      </c>
      <c r="C4" s="986"/>
      <c r="D4" s="986"/>
      <c r="E4" s="986"/>
      <c r="F4" s="986"/>
      <c r="G4" s="986"/>
      <c r="H4" s="987"/>
      <c r="I4" s="132" t="s">
        <v>490</v>
      </c>
      <c r="J4" s="340" t="s">
        <v>2</v>
      </c>
      <c r="K4" s="884" t="s">
        <v>0</v>
      </c>
      <c r="L4" s="932"/>
    </row>
    <row r="5" spans="2:12" ht="24.95" customHeight="1" thickBot="1" x14ac:dyDescent="0.3">
      <c r="B5" s="988"/>
      <c r="C5" s="989"/>
      <c r="D5" s="989"/>
      <c r="E5" s="989"/>
      <c r="F5" s="989"/>
      <c r="G5" s="989"/>
      <c r="H5" s="990"/>
      <c r="I5" s="133" t="s">
        <v>491</v>
      </c>
      <c r="J5" s="134">
        <v>2</v>
      </c>
      <c r="K5" s="947" t="s">
        <v>292</v>
      </c>
      <c r="L5" s="948"/>
    </row>
    <row r="6" spans="2:12" ht="15.75" customHeight="1" x14ac:dyDescent="0.25">
      <c r="B6" s="886" t="s">
        <v>453</v>
      </c>
      <c r="C6" s="887"/>
      <c r="D6" s="887"/>
      <c r="E6" s="887"/>
      <c r="F6" s="887"/>
      <c r="G6" s="888"/>
      <c r="H6" s="901" t="s">
        <v>454</v>
      </c>
      <c r="I6" s="902"/>
      <c r="J6" s="902"/>
      <c r="K6" s="902"/>
      <c r="L6" s="903"/>
    </row>
    <row r="7" spans="2:12" x14ac:dyDescent="0.25">
      <c r="B7" s="886"/>
      <c r="C7" s="887"/>
      <c r="D7" s="887"/>
      <c r="E7" s="887"/>
      <c r="F7" s="887"/>
      <c r="G7" s="888"/>
      <c r="H7" s="886"/>
      <c r="I7" s="887"/>
      <c r="J7" s="887"/>
      <c r="K7" s="887"/>
      <c r="L7" s="888"/>
    </row>
    <row r="8" spans="2:12" x14ac:dyDescent="0.25">
      <c r="B8" s="886"/>
      <c r="C8" s="887"/>
      <c r="D8" s="887"/>
      <c r="E8" s="887"/>
      <c r="F8" s="887"/>
      <c r="G8" s="888"/>
      <c r="H8" s="886"/>
      <c r="I8" s="887"/>
      <c r="J8" s="887"/>
      <c r="K8" s="887"/>
      <c r="L8" s="888"/>
    </row>
    <row r="9" spans="2:12" x14ac:dyDescent="0.25">
      <c r="B9" s="886"/>
      <c r="C9" s="887"/>
      <c r="D9" s="887"/>
      <c r="E9" s="887"/>
      <c r="F9" s="887"/>
      <c r="G9" s="888"/>
      <c r="H9" s="886"/>
      <c r="I9" s="887"/>
      <c r="J9" s="887"/>
      <c r="K9" s="887"/>
      <c r="L9" s="888"/>
    </row>
    <row r="10" spans="2:12" x14ac:dyDescent="0.25">
      <c r="B10" s="886"/>
      <c r="C10" s="887"/>
      <c r="D10" s="887"/>
      <c r="E10" s="887"/>
      <c r="F10" s="887"/>
      <c r="G10" s="888"/>
      <c r="H10" s="886"/>
      <c r="I10" s="887"/>
      <c r="J10" s="887"/>
      <c r="K10" s="887"/>
      <c r="L10" s="888"/>
    </row>
    <row r="11" spans="2:12" x14ac:dyDescent="0.25">
      <c r="B11" s="886"/>
      <c r="C11" s="887"/>
      <c r="D11" s="887"/>
      <c r="E11" s="887"/>
      <c r="F11" s="887"/>
      <c r="G11" s="888"/>
      <c r="H11" s="886"/>
      <c r="I11" s="887"/>
      <c r="J11" s="887"/>
      <c r="K11" s="887"/>
      <c r="L11" s="888"/>
    </row>
    <row r="12" spans="2:12" x14ac:dyDescent="0.25">
      <c r="B12" s="886"/>
      <c r="C12" s="887"/>
      <c r="D12" s="887"/>
      <c r="E12" s="887"/>
      <c r="F12" s="887"/>
      <c r="G12" s="888"/>
      <c r="H12" s="886"/>
      <c r="I12" s="887"/>
      <c r="J12" s="887"/>
      <c r="K12" s="887"/>
      <c r="L12" s="888"/>
    </row>
    <row r="13" spans="2:12" x14ac:dyDescent="0.25">
      <c r="B13" s="886"/>
      <c r="C13" s="887"/>
      <c r="D13" s="887"/>
      <c r="E13" s="887"/>
      <c r="F13" s="887"/>
      <c r="G13" s="888"/>
      <c r="H13" s="886"/>
      <c r="I13" s="887"/>
      <c r="J13" s="887"/>
      <c r="K13" s="887"/>
      <c r="L13" s="888"/>
    </row>
    <row r="14" spans="2:12" x14ac:dyDescent="0.25">
      <c r="B14" s="886"/>
      <c r="C14" s="887"/>
      <c r="D14" s="887"/>
      <c r="E14" s="887"/>
      <c r="F14" s="887"/>
      <c r="G14" s="888"/>
      <c r="H14" s="886"/>
      <c r="I14" s="887"/>
      <c r="J14" s="887"/>
      <c r="K14" s="887"/>
      <c r="L14" s="888"/>
    </row>
    <row r="15" spans="2:12" x14ac:dyDescent="0.25">
      <c r="B15" s="886"/>
      <c r="C15" s="887"/>
      <c r="D15" s="887"/>
      <c r="E15" s="887"/>
      <c r="F15" s="887"/>
      <c r="G15" s="888"/>
      <c r="H15" s="886"/>
      <c r="I15" s="887"/>
      <c r="J15" s="887"/>
      <c r="K15" s="887"/>
      <c r="L15" s="888"/>
    </row>
    <row r="16" spans="2:12" x14ac:dyDescent="0.25">
      <c r="B16" s="886"/>
      <c r="C16" s="887"/>
      <c r="D16" s="887"/>
      <c r="E16" s="887"/>
      <c r="F16" s="887"/>
      <c r="G16" s="888"/>
      <c r="H16" s="886"/>
      <c r="I16" s="887"/>
      <c r="J16" s="887"/>
      <c r="K16" s="887"/>
      <c r="L16" s="888"/>
    </row>
    <row r="17" spans="2:13" x14ac:dyDescent="0.25">
      <c r="B17" s="886"/>
      <c r="C17" s="887"/>
      <c r="D17" s="887"/>
      <c r="E17" s="887"/>
      <c r="F17" s="887"/>
      <c r="G17" s="888"/>
      <c r="H17" s="886"/>
      <c r="I17" s="887"/>
      <c r="J17" s="887"/>
      <c r="K17" s="887"/>
      <c r="L17" s="888"/>
    </row>
    <row r="18" spans="2:13" x14ac:dyDescent="0.25">
      <c r="B18" s="886"/>
      <c r="C18" s="887"/>
      <c r="D18" s="887"/>
      <c r="E18" s="887"/>
      <c r="F18" s="887"/>
      <c r="G18" s="888"/>
      <c r="H18" s="886"/>
      <c r="I18" s="887"/>
      <c r="J18" s="887"/>
      <c r="K18" s="887"/>
      <c r="L18" s="888"/>
    </row>
    <row r="19" spans="2:13" ht="15.75" thickBot="1" x14ac:dyDescent="0.3">
      <c r="B19" s="917"/>
      <c r="C19" s="918"/>
      <c r="D19" s="918"/>
      <c r="E19" s="918"/>
      <c r="F19" s="918"/>
      <c r="G19" s="919"/>
      <c r="H19" s="917"/>
      <c r="I19" s="918"/>
      <c r="J19" s="918"/>
      <c r="K19" s="918"/>
      <c r="L19" s="919"/>
    </row>
    <row r="20" spans="2:13" ht="25.5" customHeight="1" x14ac:dyDescent="0.25">
      <c r="B20" s="991" t="s">
        <v>1145</v>
      </c>
      <c r="C20" s="992"/>
      <c r="D20" s="992"/>
      <c r="E20" s="992"/>
      <c r="F20" s="992"/>
      <c r="G20" s="993"/>
      <c r="H20" s="997" t="s">
        <v>1223</v>
      </c>
      <c r="I20" s="998"/>
      <c r="J20" s="998"/>
      <c r="K20" s="998"/>
      <c r="L20" s="998"/>
      <c r="M20" s="999"/>
    </row>
    <row r="21" spans="2:13" ht="23.25" customHeight="1" thickBot="1" x14ac:dyDescent="0.3">
      <c r="B21" s="994"/>
      <c r="C21" s="995"/>
      <c r="D21" s="995"/>
      <c r="E21" s="995"/>
      <c r="F21" s="995"/>
      <c r="G21" s="996"/>
      <c r="H21" s="997"/>
      <c r="I21" s="998"/>
      <c r="J21" s="998"/>
      <c r="K21" s="998"/>
      <c r="L21" s="998"/>
      <c r="M21" s="999"/>
    </row>
    <row r="22" spans="2:13" ht="15.75" customHeight="1" x14ac:dyDescent="0.25">
      <c r="B22" s="886" t="s">
        <v>453</v>
      </c>
      <c r="C22" s="887"/>
      <c r="D22" s="887"/>
      <c r="E22" s="887"/>
      <c r="F22" s="887"/>
      <c r="G22" s="888"/>
      <c r="H22" s="901" t="s">
        <v>454</v>
      </c>
      <c r="I22" s="902"/>
      <c r="J22" s="902"/>
      <c r="K22" s="902"/>
      <c r="L22" s="903"/>
    </row>
    <row r="23" spans="2:13" x14ac:dyDescent="0.25">
      <c r="B23" s="886"/>
      <c r="C23" s="887"/>
      <c r="D23" s="887"/>
      <c r="E23" s="887"/>
      <c r="F23" s="887"/>
      <c r="G23" s="888"/>
      <c r="H23" s="886"/>
      <c r="I23" s="887"/>
      <c r="J23" s="887"/>
      <c r="K23" s="887"/>
      <c r="L23" s="888"/>
    </row>
    <row r="24" spans="2:13" x14ac:dyDescent="0.25">
      <c r="B24" s="886"/>
      <c r="C24" s="887"/>
      <c r="D24" s="887"/>
      <c r="E24" s="887"/>
      <c r="F24" s="887"/>
      <c r="G24" s="888"/>
      <c r="H24" s="886"/>
      <c r="I24" s="887"/>
      <c r="J24" s="887"/>
      <c r="K24" s="887"/>
      <c r="L24" s="888"/>
    </row>
    <row r="25" spans="2:13" x14ac:dyDescent="0.25">
      <c r="B25" s="886"/>
      <c r="C25" s="887"/>
      <c r="D25" s="887"/>
      <c r="E25" s="887"/>
      <c r="F25" s="887"/>
      <c r="G25" s="888"/>
      <c r="H25" s="886"/>
      <c r="I25" s="887"/>
      <c r="J25" s="887"/>
      <c r="K25" s="887"/>
      <c r="L25" s="888"/>
    </row>
    <row r="26" spans="2:13" x14ac:dyDescent="0.25">
      <c r="B26" s="886"/>
      <c r="C26" s="887"/>
      <c r="D26" s="887"/>
      <c r="E26" s="887"/>
      <c r="F26" s="887"/>
      <c r="G26" s="888"/>
      <c r="H26" s="886"/>
      <c r="I26" s="887"/>
      <c r="J26" s="887"/>
      <c r="K26" s="887"/>
      <c r="L26" s="888"/>
    </row>
    <row r="27" spans="2:13" x14ac:dyDescent="0.25">
      <c r="B27" s="886"/>
      <c r="C27" s="887"/>
      <c r="D27" s="887"/>
      <c r="E27" s="887"/>
      <c r="F27" s="887"/>
      <c r="G27" s="888"/>
      <c r="H27" s="886"/>
      <c r="I27" s="887"/>
      <c r="J27" s="887"/>
      <c r="K27" s="887"/>
      <c r="L27" s="888"/>
    </row>
    <row r="28" spans="2:13" x14ac:dyDescent="0.25">
      <c r="B28" s="886"/>
      <c r="C28" s="887"/>
      <c r="D28" s="887"/>
      <c r="E28" s="887"/>
      <c r="F28" s="887"/>
      <c r="G28" s="888"/>
      <c r="H28" s="886"/>
      <c r="I28" s="887"/>
      <c r="J28" s="887"/>
      <c r="K28" s="887"/>
      <c r="L28" s="888"/>
    </row>
    <row r="29" spans="2:13" x14ac:dyDescent="0.25">
      <c r="B29" s="886"/>
      <c r="C29" s="887"/>
      <c r="D29" s="887"/>
      <c r="E29" s="887"/>
      <c r="F29" s="887"/>
      <c r="G29" s="888"/>
      <c r="H29" s="886"/>
      <c r="I29" s="887"/>
      <c r="J29" s="887"/>
      <c r="K29" s="887"/>
      <c r="L29" s="888"/>
    </row>
    <row r="30" spans="2:13" x14ac:dyDescent="0.25">
      <c r="B30" s="886"/>
      <c r="C30" s="887"/>
      <c r="D30" s="887"/>
      <c r="E30" s="887"/>
      <c r="F30" s="887"/>
      <c r="G30" s="888"/>
      <c r="H30" s="886"/>
      <c r="I30" s="887"/>
      <c r="J30" s="887"/>
      <c r="K30" s="887"/>
      <c r="L30" s="888"/>
    </row>
    <row r="31" spans="2:13" x14ac:dyDescent="0.25">
      <c r="B31" s="886"/>
      <c r="C31" s="887"/>
      <c r="D31" s="887"/>
      <c r="E31" s="887"/>
      <c r="F31" s="887"/>
      <c r="G31" s="888"/>
      <c r="H31" s="886"/>
      <c r="I31" s="887"/>
      <c r="J31" s="887"/>
      <c r="K31" s="887"/>
      <c r="L31" s="888"/>
    </row>
    <row r="32" spans="2:13" x14ac:dyDescent="0.25">
      <c r="B32" s="886"/>
      <c r="C32" s="887"/>
      <c r="D32" s="887"/>
      <c r="E32" s="887"/>
      <c r="F32" s="887"/>
      <c r="G32" s="888"/>
      <c r="H32" s="886"/>
      <c r="I32" s="887"/>
      <c r="J32" s="887"/>
      <c r="K32" s="887"/>
      <c r="L32" s="888"/>
    </row>
    <row r="33" spans="2:15" x14ac:dyDescent="0.25">
      <c r="B33" s="886"/>
      <c r="C33" s="887"/>
      <c r="D33" s="887"/>
      <c r="E33" s="887"/>
      <c r="F33" s="887"/>
      <c r="G33" s="888"/>
      <c r="H33" s="886"/>
      <c r="I33" s="887"/>
      <c r="J33" s="887"/>
      <c r="K33" s="887"/>
      <c r="L33" s="888"/>
    </row>
    <row r="34" spans="2:15" x14ac:dyDescent="0.25">
      <c r="B34" s="886"/>
      <c r="C34" s="887"/>
      <c r="D34" s="887"/>
      <c r="E34" s="887"/>
      <c r="F34" s="887"/>
      <c r="G34" s="888"/>
      <c r="H34" s="886"/>
      <c r="I34" s="887"/>
      <c r="J34" s="887"/>
      <c r="K34" s="887"/>
      <c r="L34" s="888"/>
      <c r="O34" s="135"/>
    </row>
    <row r="35" spans="2:15" ht="15.75" thickBot="1" x14ac:dyDescent="0.3">
      <c r="B35" s="917"/>
      <c r="C35" s="918"/>
      <c r="D35" s="918"/>
      <c r="E35" s="918"/>
      <c r="F35" s="918"/>
      <c r="G35" s="919"/>
      <c r="H35" s="917"/>
      <c r="I35" s="918"/>
      <c r="J35" s="918"/>
      <c r="K35" s="918"/>
      <c r="L35" s="919"/>
    </row>
    <row r="36" spans="2:15" ht="25.5" customHeight="1" x14ac:dyDescent="0.25">
      <c r="B36" s="991" t="s">
        <v>1224</v>
      </c>
      <c r="C36" s="992"/>
      <c r="D36" s="992"/>
      <c r="E36" s="992"/>
      <c r="F36" s="992"/>
      <c r="G36" s="993"/>
      <c r="H36" s="1000" t="s">
        <v>1146</v>
      </c>
      <c r="I36" s="1001"/>
      <c r="J36" s="1001"/>
      <c r="K36" s="1001"/>
      <c r="L36" s="1001"/>
      <c r="M36" s="1002"/>
    </row>
    <row r="37" spans="2:15" ht="23.25" customHeight="1" thickBot="1" x14ac:dyDescent="0.3">
      <c r="B37" s="994"/>
      <c r="C37" s="995"/>
      <c r="D37" s="995"/>
      <c r="E37" s="995"/>
      <c r="F37" s="995"/>
      <c r="G37" s="996"/>
      <c r="H37" s="1003"/>
      <c r="I37" s="1002"/>
      <c r="J37" s="1002"/>
      <c r="K37" s="1002"/>
      <c r="L37" s="1002"/>
      <c r="M37" s="1002"/>
    </row>
    <row r="38" spans="2:15" ht="15.75" customHeight="1" x14ac:dyDescent="0.25">
      <c r="B38" s="886" t="s">
        <v>453</v>
      </c>
      <c r="C38" s="887"/>
      <c r="D38" s="887"/>
      <c r="E38" s="887"/>
      <c r="F38" s="887"/>
      <c r="G38" s="888"/>
      <c r="H38" s="901" t="s">
        <v>454</v>
      </c>
      <c r="I38" s="902"/>
      <c r="J38" s="902"/>
      <c r="K38" s="902"/>
      <c r="L38" s="903"/>
    </row>
    <row r="39" spans="2:15" x14ac:dyDescent="0.25">
      <c r="B39" s="886"/>
      <c r="C39" s="887"/>
      <c r="D39" s="887"/>
      <c r="E39" s="887"/>
      <c r="F39" s="887"/>
      <c r="G39" s="888"/>
      <c r="H39" s="886"/>
      <c r="I39" s="887"/>
      <c r="J39" s="887"/>
      <c r="K39" s="887"/>
      <c r="L39" s="888"/>
    </row>
    <row r="40" spans="2:15" x14ac:dyDescent="0.25">
      <c r="B40" s="886"/>
      <c r="C40" s="887"/>
      <c r="D40" s="887"/>
      <c r="E40" s="887"/>
      <c r="F40" s="887"/>
      <c r="G40" s="888"/>
      <c r="H40" s="886"/>
      <c r="I40" s="887"/>
      <c r="J40" s="887"/>
      <c r="K40" s="887"/>
      <c r="L40" s="888"/>
    </row>
    <row r="41" spans="2:15" x14ac:dyDescent="0.25">
      <c r="B41" s="886"/>
      <c r="C41" s="887"/>
      <c r="D41" s="887"/>
      <c r="E41" s="887"/>
      <c r="F41" s="887"/>
      <c r="G41" s="888"/>
      <c r="H41" s="886"/>
      <c r="I41" s="887"/>
      <c r="J41" s="887"/>
      <c r="K41" s="887"/>
      <c r="L41" s="888"/>
    </row>
    <row r="42" spans="2:15" x14ac:dyDescent="0.25">
      <c r="B42" s="886"/>
      <c r="C42" s="887"/>
      <c r="D42" s="887"/>
      <c r="E42" s="887"/>
      <c r="F42" s="887"/>
      <c r="G42" s="888"/>
      <c r="H42" s="886"/>
      <c r="I42" s="887"/>
      <c r="J42" s="887"/>
      <c r="K42" s="887"/>
      <c r="L42" s="888"/>
    </row>
    <row r="43" spans="2:15" x14ac:dyDescent="0.25">
      <c r="B43" s="886"/>
      <c r="C43" s="887"/>
      <c r="D43" s="887"/>
      <c r="E43" s="887"/>
      <c r="F43" s="887"/>
      <c r="G43" s="888"/>
      <c r="H43" s="886"/>
      <c r="I43" s="887"/>
      <c r="J43" s="887"/>
      <c r="K43" s="887"/>
      <c r="L43" s="888"/>
    </row>
    <row r="44" spans="2:15" x14ac:dyDescent="0.25">
      <c r="B44" s="886"/>
      <c r="C44" s="887"/>
      <c r="D44" s="887"/>
      <c r="E44" s="887"/>
      <c r="F44" s="887"/>
      <c r="G44" s="888"/>
      <c r="H44" s="886"/>
      <c r="I44" s="887"/>
      <c r="J44" s="887"/>
      <c r="K44" s="887"/>
      <c r="L44" s="888"/>
    </row>
    <row r="45" spans="2:15" x14ac:dyDescent="0.25">
      <c r="B45" s="886"/>
      <c r="C45" s="887"/>
      <c r="D45" s="887"/>
      <c r="E45" s="887"/>
      <c r="F45" s="887"/>
      <c r="G45" s="888"/>
      <c r="H45" s="886"/>
      <c r="I45" s="887"/>
      <c r="J45" s="887"/>
      <c r="K45" s="887"/>
      <c r="L45" s="888"/>
    </row>
    <row r="46" spans="2:15" x14ac:dyDescent="0.25">
      <c r="B46" s="886"/>
      <c r="C46" s="887"/>
      <c r="D46" s="887"/>
      <c r="E46" s="887"/>
      <c r="F46" s="887"/>
      <c r="G46" s="888"/>
      <c r="H46" s="886"/>
      <c r="I46" s="887"/>
      <c r="J46" s="887"/>
      <c r="K46" s="887"/>
      <c r="L46" s="888"/>
    </row>
    <row r="47" spans="2:15" x14ac:dyDescent="0.25">
      <c r="B47" s="886"/>
      <c r="C47" s="887"/>
      <c r="D47" s="887"/>
      <c r="E47" s="887"/>
      <c r="F47" s="887"/>
      <c r="G47" s="888"/>
      <c r="H47" s="886"/>
      <c r="I47" s="887"/>
      <c r="J47" s="887"/>
      <c r="K47" s="887"/>
      <c r="L47" s="888"/>
    </row>
    <row r="48" spans="2:15" x14ac:dyDescent="0.25">
      <c r="B48" s="886"/>
      <c r="C48" s="887"/>
      <c r="D48" s="887"/>
      <c r="E48" s="887"/>
      <c r="F48" s="887"/>
      <c r="G48" s="888"/>
      <c r="H48" s="886"/>
      <c r="I48" s="887"/>
      <c r="J48" s="887"/>
      <c r="K48" s="887"/>
      <c r="L48" s="888"/>
    </row>
    <row r="49" spans="2:13" x14ac:dyDescent="0.25">
      <c r="B49" s="886"/>
      <c r="C49" s="887"/>
      <c r="D49" s="887"/>
      <c r="E49" s="887"/>
      <c r="F49" s="887"/>
      <c r="G49" s="888"/>
      <c r="H49" s="886"/>
      <c r="I49" s="887"/>
      <c r="J49" s="887"/>
      <c r="K49" s="887"/>
      <c r="L49" s="888"/>
    </row>
    <row r="50" spans="2:13" x14ac:dyDescent="0.25">
      <c r="B50" s="886"/>
      <c r="C50" s="887"/>
      <c r="D50" s="887"/>
      <c r="E50" s="887"/>
      <c r="F50" s="887"/>
      <c r="G50" s="888"/>
      <c r="H50" s="886"/>
      <c r="I50" s="887"/>
      <c r="J50" s="887"/>
      <c r="K50" s="887"/>
      <c r="L50" s="888"/>
    </row>
    <row r="51" spans="2:13" ht="15.75" thickBot="1" x14ac:dyDescent="0.3">
      <c r="B51" s="917"/>
      <c r="C51" s="918"/>
      <c r="D51" s="918"/>
      <c r="E51" s="918"/>
      <c r="F51" s="918"/>
      <c r="G51" s="919"/>
      <c r="H51" s="917"/>
      <c r="I51" s="918"/>
      <c r="J51" s="918"/>
      <c r="K51" s="918"/>
      <c r="L51" s="919"/>
    </row>
    <row r="52" spans="2:13" ht="25.5" customHeight="1" x14ac:dyDescent="0.25">
      <c r="B52" s="991" t="s">
        <v>1225</v>
      </c>
      <c r="C52" s="992"/>
      <c r="D52" s="992"/>
      <c r="E52" s="992"/>
      <c r="F52" s="992"/>
      <c r="G52" s="993"/>
      <c r="H52" s="997" t="s">
        <v>1226</v>
      </c>
      <c r="I52" s="998"/>
      <c r="J52" s="998"/>
      <c r="K52" s="998"/>
      <c r="L52" s="998"/>
      <c r="M52" s="999"/>
    </row>
    <row r="53" spans="2:13" ht="23.25" customHeight="1" thickBot="1" x14ac:dyDescent="0.3">
      <c r="B53" s="994"/>
      <c r="C53" s="995"/>
      <c r="D53" s="995"/>
      <c r="E53" s="995"/>
      <c r="F53" s="995"/>
      <c r="G53" s="996"/>
      <c r="H53" s="997"/>
      <c r="I53" s="998"/>
      <c r="J53" s="998"/>
      <c r="K53" s="998"/>
      <c r="L53" s="998"/>
      <c r="M53" s="999"/>
    </row>
    <row r="54" spans="2:13" ht="15.75" customHeight="1" x14ac:dyDescent="0.25">
      <c r="B54" s="865"/>
      <c r="C54" s="866"/>
      <c r="D54" s="866"/>
      <c r="E54" s="866"/>
      <c r="F54" s="866"/>
      <c r="G54" s="867"/>
      <c r="H54" s="865"/>
      <c r="I54" s="866"/>
      <c r="J54" s="866"/>
      <c r="K54" s="866"/>
      <c r="L54" s="867"/>
    </row>
    <row r="55" spans="2:13" x14ac:dyDescent="0.25">
      <c r="B55" s="868"/>
      <c r="C55" s="869"/>
      <c r="D55" s="869"/>
      <c r="E55" s="869"/>
      <c r="F55" s="869"/>
      <c r="G55" s="870"/>
      <c r="H55" s="868"/>
      <c r="I55" s="869"/>
      <c r="J55" s="869"/>
      <c r="K55" s="869"/>
      <c r="L55" s="870"/>
    </row>
    <row r="56" spans="2:13" x14ac:dyDescent="0.25">
      <c r="B56" s="868"/>
      <c r="C56" s="869"/>
      <c r="D56" s="869"/>
      <c r="E56" s="869"/>
      <c r="F56" s="869"/>
      <c r="G56" s="870"/>
      <c r="H56" s="868"/>
      <c r="I56" s="869"/>
      <c r="J56" s="869"/>
      <c r="K56" s="869"/>
      <c r="L56" s="870"/>
    </row>
    <row r="57" spans="2:13" x14ac:dyDescent="0.25">
      <c r="B57" s="868"/>
      <c r="C57" s="869"/>
      <c r="D57" s="869"/>
      <c r="E57" s="869"/>
      <c r="F57" s="869"/>
      <c r="G57" s="870"/>
      <c r="H57" s="868"/>
      <c r="I57" s="869"/>
      <c r="J57" s="869"/>
      <c r="K57" s="869"/>
      <c r="L57" s="870"/>
    </row>
    <row r="58" spans="2:13" x14ac:dyDescent="0.25">
      <c r="B58" s="868"/>
      <c r="C58" s="869"/>
      <c r="D58" s="869"/>
      <c r="E58" s="869"/>
      <c r="F58" s="869"/>
      <c r="G58" s="870"/>
      <c r="H58" s="868"/>
      <c r="I58" s="869"/>
      <c r="J58" s="869"/>
      <c r="K58" s="869"/>
      <c r="L58" s="870"/>
    </row>
    <row r="59" spans="2:13" x14ac:dyDescent="0.25">
      <c r="B59" s="868"/>
      <c r="C59" s="869"/>
      <c r="D59" s="869"/>
      <c r="E59" s="869"/>
      <c r="F59" s="869"/>
      <c r="G59" s="870"/>
      <c r="H59" s="868"/>
      <c r="I59" s="869"/>
      <c r="J59" s="869"/>
      <c r="K59" s="869"/>
      <c r="L59" s="870"/>
    </row>
    <row r="60" spans="2:13" x14ac:dyDescent="0.25">
      <c r="B60" s="868"/>
      <c r="C60" s="869"/>
      <c r="D60" s="869"/>
      <c r="E60" s="869"/>
      <c r="F60" s="869"/>
      <c r="G60" s="870"/>
      <c r="H60" s="868"/>
      <c r="I60" s="869"/>
      <c r="J60" s="869"/>
      <c r="K60" s="869"/>
      <c r="L60" s="870"/>
    </row>
    <row r="61" spans="2:13" x14ac:dyDescent="0.25">
      <c r="B61" s="868"/>
      <c r="C61" s="869"/>
      <c r="D61" s="869"/>
      <c r="E61" s="869"/>
      <c r="F61" s="869"/>
      <c r="G61" s="870"/>
      <c r="H61" s="868"/>
      <c r="I61" s="869"/>
      <c r="J61" s="869"/>
      <c r="K61" s="869"/>
      <c r="L61" s="870"/>
    </row>
    <row r="62" spans="2:13" x14ac:dyDescent="0.25">
      <c r="B62" s="868"/>
      <c r="C62" s="869"/>
      <c r="D62" s="869"/>
      <c r="E62" s="869"/>
      <c r="F62" s="869"/>
      <c r="G62" s="870"/>
      <c r="H62" s="868"/>
      <c r="I62" s="869"/>
      <c r="J62" s="869"/>
      <c r="K62" s="869"/>
      <c r="L62" s="870"/>
    </row>
    <row r="63" spans="2:13" x14ac:dyDescent="0.25">
      <c r="B63" s="868"/>
      <c r="C63" s="869"/>
      <c r="D63" s="869"/>
      <c r="E63" s="869"/>
      <c r="F63" s="869"/>
      <c r="G63" s="870"/>
      <c r="H63" s="868"/>
      <c r="I63" s="869"/>
      <c r="J63" s="869"/>
      <c r="K63" s="869"/>
      <c r="L63" s="870"/>
    </row>
    <row r="64" spans="2:13" x14ac:dyDescent="0.25">
      <c r="B64" s="868"/>
      <c r="C64" s="869"/>
      <c r="D64" s="869"/>
      <c r="E64" s="869"/>
      <c r="F64" s="869"/>
      <c r="G64" s="870"/>
      <c r="H64" s="868"/>
      <c r="I64" s="869"/>
      <c r="J64" s="869"/>
      <c r="K64" s="869"/>
      <c r="L64" s="870"/>
    </row>
    <row r="65" spans="2:12" x14ac:dyDescent="0.25">
      <c r="B65" s="868"/>
      <c r="C65" s="869"/>
      <c r="D65" s="869"/>
      <c r="E65" s="869"/>
      <c r="F65" s="869"/>
      <c r="G65" s="870"/>
      <c r="H65" s="868"/>
      <c r="I65" s="869"/>
      <c r="J65" s="869"/>
      <c r="K65" s="869"/>
      <c r="L65" s="870"/>
    </row>
    <row r="66" spans="2:12" x14ac:dyDescent="0.25">
      <c r="B66" s="868"/>
      <c r="C66" s="869"/>
      <c r="D66" s="869"/>
      <c r="E66" s="869"/>
      <c r="F66" s="869"/>
      <c r="G66" s="870"/>
      <c r="H66" s="868"/>
      <c r="I66" s="869"/>
      <c r="J66" s="869"/>
      <c r="K66" s="869"/>
      <c r="L66" s="870"/>
    </row>
    <row r="67" spans="2:12" ht="15.75" thickBot="1" x14ac:dyDescent="0.3">
      <c r="B67" s="1004"/>
      <c r="C67" s="1005"/>
      <c r="D67" s="1005"/>
      <c r="E67" s="1005"/>
      <c r="F67" s="1005"/>
      <c r="G67" s="1006"/>
      <c r="H67" s="1004"/>
      <c r="I67" s="1005"/>
      <c r="J67" s="1005"/>
      <c r="K67" s="1005"/>
      <c r="L67" s="1006"/>
    </row>
    <row r="68" spans="2:12" x14ac:dyDescent="0.25">
      <c r="B68" s="1007" t="s">
        <v>1227</v>
      </c>
      <c r="C68" s="1008"/>
      <c r="D68" s="1008"/>
      <c r="E68" s="1008"/>
      <c r="F68" s="1008"/>
      <c r="G68" s="1009"/>
      <c r="H68" s="1003" t="s">
        <v>1228</v>
      </c>
      <c r="I68" s="1002"/>
      <c r="J68" s="1002"/>
      <c r="K68" s="1002"/>
      <c r="L68" s="1002"/>
    </row>
    <row r="69" spans="2:12" ht="30" customHeight="1" thickBot="1" x14ac:dyDescent="0.3">
      <c r="B69" s="1010"/>
      <c r="C69" s="1011"/>
      <c r="D69" s="1011"/>
      <c r="E69" s="1011"/>
      <c r="F69" s="1011"/>
      <c r="G69" s="1012"/>
      <c r="H69" s="1003"/>
      <c r="I69" s="1002"/>
      <c r="J69" s="1002"/>
      <c r="K69" s="1002"/>
      <c r="L69" s="1002"/>
    </row>
    <row r="70" spans="2:12" ht="15.75" customHeight="1" x14ac:dyDescent="0.25">
      <c r="B70" s="865"/>
      <c r="C70" s="866"/>
      <c r="D70" s="866"/>
      <c r="E70" s="866"/>
      <c r="F70" s="866"/>
      <c r="G70" s="867"/>
      <c r="H70" s="865"/>
      <c r="I70" s="866"/>
      <c r="J70" s="866"/>
      <c r="K70" s="866"/>
      <c r="L70" s="867"/>
    </row>
    <row r="71" spans="2:12" x14ac:dyDescent="0.25">
      <c r="B71" s="868"/>
      <c r="C71" s="869"/>
      <c r="D71" s="869"/>
      <c r="E71" s="869"/>
      <c r="F71" s="869"/>
      <c r="G71" s="870"/>
      <c r="H71" s="868"/>
      <c r="I71" s="869"/>
      <c r="J71" s="869"/>
      <c r="K71" s="869"/>
      <c r="L71" s="870"/>
    </row>
    <row r="72" spans="2:12" x14ac:dyDescent="0.25">
      <c r="B72" s="868"/>
      <c r="C72" s="869"/>
      <c r="D72" s="869"/>
      <c r="E72" s="869"/>
      <c r="F72" s="869"/>
      <c r="G72" s="870"/>
      <c r="H72" s="868"/>
      <c r="I72" s="869"/>
      <c r="J72" s="869"/>
      <c r="K72" s="869"/>
      <c r="L72" s="870"/>
    </row>
    <row r="73" spans="2:12" x14ac:dyDescent="0.25">
      <c r="B73" s="868"/>
      <c r="C73" s="869"/>
      <c r="D73" s="869"/>
      <c r="E73" s="869"/>
      <c r="F73" s="869"/>
      <c r="G73" s="870"/>
      <c r="H73" s="868"/>
      <c r="I73" s="869"/>
      <c r="J73" s="869"/>
      <c r="K73" s="869"/>
      <c r="L73" s="870"/>
    </row>
    <row r="74" spans="2:12" x14ac:dyDescent="0.25">
      <c r="B74" s="868"/>
      <c r="C74" s="869"/>
      <c r="D74" s="869"/>
      <c r="E74" s="869"/>
      <c r="F74" s="869"/>
      <c r="G74" s="870"/>
      <c r="H74" s="868"/>
      <c r="I74" s="869"/>
      <c r="J74" s="869"/>
      <c r="K74" s="869"/>
      <c r="L74" s="870"/>
    </row>
    <row r="75" spans="2:12" x14ac:dyDescent="0.25">
      <c r="B75" s="868"/>
      <c r="C75" s="869"/>
      <c r="D75" s="869"/>
      <c r="E75" s="869"/>
      <c r="F75" s="869"/>
      <c r="G75" s="870"/>
      <c r="H75" s="868"/>
      <c r="I75" s="869"/>
      <c r="J75" s="869"/>
      <c r="K75" s="869"/>
      <c r="L75" s="870"/>
    </row>
    <row r="76" spans="2:12" x14ac:dyDescent="0.25">
      <c r="B76" s="868"/>
      <c r="C76" s="869"/>
      <c r="D76" s="869"/>
      <c r="E76" s="869"/>
      <c r="F76" s="869"/>
      <c r="G76" s="870"/>
      <c r="H76" s="868"/>
      <c r="I76" s="869"/>
      <c r="J76" s="869"/>
      <c r="K76" s="869"/>
      <c r="L76" s="870"/>
    </row>
    <row r="77" spans="2:12" x14ac:dyDescent="0.25">
      <c r="B77" s="868"/>
      <c r="C77" s="869"/>
      <c r="D77" s="869"/>
      <c r="E77" s="869"/>
      <c r="F77" s="869"/>
      <c r="G77" s="870"/>
      <c r="H77" s="868"/>
      <c r="I77" s="869"/>
      <c r="J77" s="869"/>
      <c r="K77" s="869"/>
      <c r="L77" s="870"/>
    </row>
    <row r="78" spans="2:12" x14ac:dyDescent="0.25">
      <c r="B78" s="868"/>
      <c r="C78" s="869"/>
      <c r="D78" s="869"/>
      <c r="E78" s="869"/>
      <c r="F78" s="869"/>
      <c r="G78" s="870"/>
      <c r="H78" s="868"/>
      <c r="I78" s="869"/>
      <c r="J78" s="869"/>
      <c r="K78" s="869"/>
      <c r="L78" s="870"/>
    </row>
    <row r="79" spans="2:12" x14ac:dyDescent="0.25">
      <c r="B79" s="868"/>
      <c r="C79" s="869"/>
      <c r="D79" s="869"/>
      <c r="E79" s="869"/>
      <c r="F79" s="869"/>
      <c r="G79" s="870"/>
      <c r="H79" s="868"/>
      <c r="I79" s="869"/>
      <c r="J79" s="869"/>
      <c r="K79" s="869"/>
      <c r="L79" s="870"/>
    </row>
    <row r="80" spans="2:12" x14ac:dyDescent="0.25">
      <c r="B80" s="868"/>
      <c r="C80" s="869"/>
      <c r="D80" s="869"/>
      <c r="E80" s="869"/>
      <c r="F80" s="869"/>
      <c r="G80" s="870"/>
      <c r="H80" s="868"/>
      <c r="I80" s="869"/>
      <c r="J80" s="869"/>
      <c r="K80" s="869"/>
      <c r="L80" s="870"/>
    </row>
    <row r="81" spans="2:12" x14ac:dyDescent="0.25">
      <c r="B81" s="868"/>
      <c r="C81" s="869"/>
      <c r="D81" s="869"/>
      <c r="E81" s="869"/>
      <c r="F81" s="869"/>
      <c r="G81" s="870"/>
      <c r="H81" s="868"/>
      <c r="I81" s="869"/>
      <c r="J81" s="869"/>
      <c r="K81" s="869"/>
      <c r="L81" s="870"/>
    </row>
    <row r="82" spans="2:12" x14ac:dyDescent="0.25">
      <c r="B82" s="868"/>
      <c r="C82" s="869"/>
      <c r="D82" s="869"/>
      <c r="E82" s="869"/>
      <c r="F82" s="869"/>
      <c r="G82" s="870"/>
      <c r="H82" s="868"/>
      <c r="I82" s="869"/>
      <c r="J82" s="869"/>
      <c r="K82" s="869"/>
      <c r="L82" s="870"/>
    </row>
    <row r="83" spans="2:12" ht="15.75" thickBot="1" x14ac:dyDescent="0.3">
      <c r="B83" s="1004"/>
      <c r="C83" s="1005"/>
      <c r="D83" s="1005"/>
      <c r="E83" s="1005"/>
      <c r="F83" s="1005"/>
      <c r="G83" s="1006"/>
      <c r="H83" s="1004"/>
      <c r="I83" s="1005"/>
      <c r="J83" s="1005"/>
      <c r="K83" s="1005"/>
      <c r="L83" s="1006"/>
    </row>
    <row r="84" spans="2:12" x14ac:dyDescent="0.25">
      <c r="B84" s="1007" t="s">
        <v>1149</v>
      </c>
      <c r="C84" s="1008"/>
      <c r="D84" s="1008"/>
      <c r="E84" s="1008"/>
      <c r="F84" s="1008"/>
      <c r="G84" s="1009"/>
      <c r="H84" s="1003" t="s">
        <v>1150</v>
      </c>
      <c r="I84" s="1002"/>
      <c r="J84" s="1002"/>
      <c r="K84" s="1002"/>
      <c r="L84" s="1002"/>
    </row>
    <row r="85" spans="2:12" ht="30" customHeight="1" thickBot="1" x14ac:dyDescent="0.3">
      <c r="B85" s="1010"/>
      <c r="C85" s="1011"/>
      <c r="D85" s="1011"/>
      <c r="E85" s="1011"/>
      <c r="F85" s="1011"/>
      <c r="G85" s="1012"/>
      <c r="H85" s="1003"/>
      <c r="I85" s="1002"/>
      <c r="J85" s="1002"/>
      <c r="K85" s="1002"/>
      <c r="L85" s="1002"/>
    </row>
    <row r="86" spans="2:12" ht="15.75" customHeight="1" x14ac:dyDescent="0.25">
      <c r="B86" s="865"/>
      <c r="C86" s="866"/>
      <c r="D86" s="866"/>
      <c r="E86" s="866"/>
      <c r="F86" s="866"/>
      <c r="G86" s="867"/>
      <c r="H86" s="865"/>
      <c r="I86" s="866"/>
      <c r="J86" s="866"/>
      <c r="K86" s="866"/>
      <c r="L86" s="867"/>
    </row>
    <row r="87" spans="2:12" x14ac:dyDescent="0.25">
      <c r="B87" s="868"/>
      <c r="C87" s="869"/>
      <c r="D87" s="869"/>
      <c r="E87" s="869"/>
      <c r="F87" s="869"/>
      <c r="G87" s="870"/>
      <c r="H87" s="868"/>
      <c r="I87" s="869"/>
      <c r="J87" s="869"/>
      <c r="K87" s="869"/>
      <c r="L87" s="870"/>
    </row>
    <row r="88" spans="2:12" x14ac:dyDescent="0.25">
      <c r="B88" s="868"/>
      <c r="C88" s="869"/>
      <c r="D88" s="869"/>
      <c r="E88" s="869"/>
      <c r="F88" s="869"/>
      <c r="G88" s="870"/>
      <c r="H88" s="868"/>
      <c r="I88" s="869"/>
      <c r="J88" s="869"/>
      <c r="K88" s="869"/>
      <c r="L88" s="870"/>
    </row>
    <row r="89" spans="2:12" x14ac:dyDescent="0.25">
      <c r="B89" s="868"/>
      <c r="C89" s="869"/>
      <c r="D89" s="869"/>
      <c r="E89" s="869"/>
      <c r="F89" s="869"/>
      <c r="G89" s="870"/>
      <c r="H89" s="868"/>
      <c r="I89" s="869"/>
      <c r="J89" s="869"/>
      <c r="K89" s="869"/>
      <c r="L89" s="870"/>
    </row>
    <row r="90" spans="2:12" x14ac:dyDescent="0.25">
      <c r="B90" s="868"/>
      <c r="C90" s="869"/>
      <c r="D90" s="869"/>
      <c r="E90" s="869"/>
      <c r="F90" s="869"/>
      <c r="G90" s="870"/>
      <c r="H90" s="868"/>
      <c r="I90" s="869"/>
      <c r="J90" s="869"/>
      <c r="K90" s="869"/>
      <c r="L90" s="870"/>
    </row>
    <row r="91" spans="2:12" x14ac:dyDescent="0.25">
      <c r="B91" s="868"/>
      <c r="C91" s="869"/>
      <c r="D91" s="869"/>
      <c r="E91" s="869"/>
      <c r="F91" s="869"/>
      <c r="G91" s="870"/>
      <c r="H91" s="868"/>
      <c r="I91" s="869"/>
      <c r="J91" s="869"/>
      <c r="K91" s="869"/>
      <c r="L91" s="870"/>
    </row>
    <row r="92" spans="2:12" x14ac:dyDescent="0.25">
      <c r="B92" s="868"/>
      <c r="C92" s="869"/>
      <c r="D92" s="869"/>
      <c r="E92" s="869"/>
      <c r="F92" s="869"/>
      <c r="G92" s="870"/>
      <c r="H92" s="868"/>
      <c r="I92" s="869"/>
      <c r="J92" s="869"/>
      <c r="K92" s="869"/>
      <c r="L92" s="870"/>
    </row>
    <row r="93" spans="2:12" x14ac:dyDescent="0.25">
      <c r="B93" s="868"/>
      <c r="C93" s="869"/>
      <c r="D93" s="869"/>
      <c r="E93" s="869"/>
      <c r="F93" s="869"/>
      <c r="G93" s="870"/>
      <c r="H93" s="868"/>
      <c r="I93" s="869"/>
      <c r="J93" s="869"/>
      <c r="K93" s="869"/>
      <c r="L93" s="870"/>
    </row>
    <row r="94" spans="2:12" x14ac:dyDescent="0.25">
      <c r="B94" s="868"/>
      <c r="C94" s="869"/>
      <c r="D94" s="869"/>
      <c r="E94" s="869"/>
      <c r="F94" s="869"/>
      <c r="G94" s="870"/>
      <c r="H94" s="868"/>
      <c r="I94" s="869"/>
      <c r="J94" s="869"/>
      <c r="K94" s="869"/>
      <c r="L94" s="870"/>
    </row>
    <row r="95" spans="2:12" x14ac:dyDescent="0.25">
      <c r="B95" s="868"/>
      <c r="C95" s="869"/>
      <c r="D95" s="869"/>
      <c r="E95" s="869"/>
      <c r="F95" s="869"/>
      <c r="G95" s="870"/>
      <c r="H95" s="868"/>
      <c r="I95" s="869"/>
      <c r="J95" s="869"/>
      <c r="K95" s="869"/>
      <c r="L95" s="870"/>
    </row>
    <row r="96" spans="2:12" x14ac:dyDescent="0.25">
      <c r="B96" s="868"/>
      <c r="C96" s="869"/>
      <c r="D96" s="869"/>
      <c r="E96" s="869"/>
      <c r="F96" s="869"/>
      <c r="G96" s="870"/>
      <c r="H96" s="868"/>
      <c r="I96" s="869"/>
      <c r="J96" s="869"/>
      <c r="K96" s="869"/>
      <c r="L96" s="870"/>
    </row>
    <row r="97" spans="2:12" x14ac:dyDescent="0.25">
      <c r="B97" s="868"/>
      <c r="C97" s="869"/>
      <c r="D97" s="869"/>
      <c r="E97" s="869"/>
      <c r="F97" s="869"/>
      <c r="G97" s="870"/>
      <c r="H97" s="868"/>
      <c r="I97" s="869"/>
      <c r="J97" s="869"/>
      <c r="K97" s="869"/>
      <c r="L97" s="870"/>
    </row>
    <row r="98" spans="2:12" x14ac:dyDescent="0.25">
      <c r="B98" s="868"/>
      <c r="C98" s="869"/>
      <c r="D98" s="869"/>
      <c r="E98" s="869"/>
      <c r="F98" s="869"/>
      <c r="G98" s="870"/>
      <c r="H98" s="868"/>
      <c r="I98" s="869"/>
      <c r="J98" s="869"/>
      <c r="K98" s="869"/>
      <c r="L98" s="870"/>
    </row>
    <row r="99" spans="2:12" ht="15.75" thickBot="1" x14ac:dyDescent="0.3">
      <c r="B99" s="1004"/>
      <c r="C99" s="1005"/>
      <c r="D99" s="1005"/>
      <c r="E99" s="1005"/>
      <c r="F99" s="1005"/>
      <c r="G99" s="1006"/>
      <c r="H99" s="1004"/>
      <c r="I99" s="1005"/>
      <c r="J99" s="1005"/>
      <c r="K99" s="1005"/>
      <c r="L99" s="1006"/>
    </row>
    <row r="100" spans="2:12" x14ac:dyDescent="0.25">
      <c r="B100" s="1007" t="s">
        <v>1147</v>
      </c>
      <c r="C100" s="1008"/>
      <c r="D100" s="1008"/>
      <c r="E100" s="1008"/>
      <c r="F100" s="1008"/>
      <c r="G100" s="1009"/>
      <c r="H100" s="1003" t="s">
        <v>1148</v>
      </c>
      <c r="I100" s="1002"/>
      <c r="J100" s="1002"/>
      <c r="K100" s="1002"/>
      <c r="L100" s="1002"/>
    </row>
    <row r="101" spans="2:12" ht="30" customHeight="1" thickBot="1" x14ac:dyDescent="0.3">
      <c r="B101" s="1010"/>
      <c r="C101" s="1011"/>
      <c r="D101" s="1011"/>
      <c r="E101" s="1011"/>
      <c r="F101" s="1011"/>
      <c r="G101" s="1012"/>
      <c r="H101" s="1003"/>
      <c r="I101" s="1002"/>
      <c r="J101" s="1002"/>
      <c r="K101" s="1002"/>
      <c r="L101" s="1002"/>
    </row>
    <row r="102" spans="2:12" ht="15.75" customHeight="1" x14ac:dyDescent="0.25">
      <c r="B102" s="865"/>
      <c r="C102" s="866"/>
      <c r="D102" s="866"/>
      <c r="E102" s="866"/>
      <c r="F102" s="866"/>
      <c r="G102" s="867"/>
      <c r="H102" s="865"/>
      <c r="I102" s="866"/>
      <c r="J102" s="866"/>
      <c r="K102" s="866"/>
      <c r="L102" s="867"/>
    </row>
    <row r="103" spans="2:12" x14ac:dyDescent="0.25">
      <c r="B103" s="868"/>
      <c r="C103" s="869"/>
      <c r="D103" s="869"/>
      <c r="E103" s="869"/>
      <c r="F103" s="869"/>
      <c r="G103" s="870"/>
      <c r="H103" s="868"/>
      <c r="I103" s="869"/>
      <c r="J103" s="869"/>
      <c r="K103" s="869"/>
      <c r="L103" s="870"/>
    </row>
    <row r="104" spans="2:12" x14ac:dyDescent="0.25">
      <c r="B104" s="868"/>
      <c r="C104" s="869"/>
      <c r="D104" s="869"/>
      <c r="E104" s="869"/>
      <c r="F104" s="869"/>
      <c r="G104" s="870"/>
      <c r="H104" s="868"/>
      <c r="I104" s="869"/>
      <c r="J104" s="869"/>
      <c r="K104" s="869"/>
      <c r="L104" s="870"/>
    </row>
    <row r="105" spans="2:12" x14ac:dyDescent="0.25">
      <c r="B105" s="868"/>
      <c r="C105" s="869"/>
      <c r="D105" s="869"/>
      <c r="E105" s="869"/>
      <c r="F105" s="869"/>
      <c r="G105" s="870"/>
      <c r="H105" s="868"/>
      <c r="I105" s="869"/>
      <c r="J105" s="869"/>
      <c r="K105" s="869"/>
      <c r="L105" s="870"/>
    </row>
    <row r="106" spans="2:12" x14ac:dyDescent="0.25">
      <c r="B106" s="868"/>
      <c r="C106" s="869"/>
      <c r="D106" s="869"/>
      <c r="E106" s="869"/>
      <c r="F106" s="869"/>
      <c r="G106" s="870"/>
      <c r="H106" s="868"/>
      <c r="I106" s="869"/>
      <c r="J106" s="869"/>
      <c r="K106" s="869"/>
      <c r="L106" s="870"/>
    </row>
    <row r="107" spans="2:12" x14ac:dyDescent="0.25">
      <c r="B107" s="868"/>
      <c r="C107" s="869"/>
      <c r="D107" s="869"/>
      <c r="E107" s="869"/>
      <c r="F107" s="869"/>
      <c r="G107" s="870"/>
      <c r="H107" s="868"/>
      <c r="I107" s="869"/>
      <c r="J107" s="869"/>
      <c r="K107" s="869"/>
      <c r="L107" s="870"/>
    </row>
    <row r="108" spans="2:12" x14ac:dyDescent="0.25">
      <c r="B108" s="868"/>
      <c r="C108" s="869"/>
      <c r="D108" s="869"/>
      <c r="E108" s="869"/>
      <c r="F108" s="869"/>
      <c r="G108" s="870"/>
      <c r="H108" s="868"/>
      <c r="I108" s="869"/>
      <c r="J108" s="869"/>
      <c r="K108" s="869"/>
      <c r="L108" s="870"/>
    </row>
    <row r="109" spans="2:12" x14ac:dyDescent="0.25">
      <c r="B109" s="868"/>
      <c r="C109" s="869"/>
      <c r="D109" s="869"/>
      <c r="E109" s="869"/>
      <c r="F109" s="869"/>
      <c r="G109" s="870"/>
      <c r="H109" s="868"/>
      <c r="I109" s="869"/>
      <c r="J109" s="869"/>
      <c r="K109" s="869"/>
      <c r="L109" s="870"/>
    </row>
    <row r="110" spans="2:12" x14ac:dyDescent="0.25">
      <c r="B110" s="868"/>
      <c r="C110" s="869"/>
      <c r="D110" s="869"/>
      <c r="E110" s="869"/>
      <c r="F110" s="869"/>
      <c r="G110" s="870"/>
      <c r="H110" s="868"/>
      <c r="I110" s="869"/>
      <c r="J110" s="869"/>
      <c r="K110" s="869"/>
      <c r="L110" s="870"/>
    </row>
    <row r="111" spans="2:12" x14ac:dyDescent="0.25">
      <c r="B111" s="868"/>
      <c r="C111" s="869"/>
      <c r="D111" s="869"/>
      <c r="E111" s="869"/>
      <c r="F111" s="869"/>
      <c r="G111" s="870"/>
      <c r="H111" s="868"/>
      <c r="I111" s="869"/>
      <c r="J111" s="869"/>
      <c r="K111" s="869"/>
      <c r="L111" s="870"/>
    </row>
    <row r="112" spans="2:12" x14ac:dyDescent="0.25">
      <c r="B112" s="868"/>
      <c r="C112" s="869"/>
      <c r="D112" s="869"/>
      <c r="E112" s="869"/>
      <c r="F112" s="869"/>
      <c r="G112" s="870"/>
      <c r="H112" s="868"/>
      <c r="I112" s="869"/>
      <c r="J112" s="869"/>
      <c r="K112" s="869"/>
      <c r="L112" s="870"/>
    </row>
    <row r="113" spans="2:12" x14ac:dyDescent="0.25">
      <c r="B113" s="868"/>
      <c r="C113" s="869"/>
      <c r="D113" s="869"/>
      <c r="E113" s="869"/>
      <c r="F113" s="869"/>
      <c r="G113" s="870"/>
      <c r="H113" s="868"/>
      <c r="I113" s="869"/>
      <c r="J113" s="869"/>
      <c r="K113" s="869"/>
      <c r="L113" s="870"/>
    </row>
    <row r="114" spans="2:12" x14ac:dyDescent="0.25">
      <c r="B114" s="868"/>
      <c r="C114" s="869"/>
      <c r="D114" s="869"/>
      <c r="E114" s="869"/>
      <c r="F114" s="869"/>
      <c r="G114" s="870"/>
      <c r="H114" s="868"/>
      <c r="I114" s="869"/>
      <c r="J114" s="869"/>
      <c r="K114" s="869"/>
      <c r="L114" s="870"/>
    </row>
    <row r="115" spans="2:12" ht="15.75" thickBot="1" x14ac:dyDescent="0.3">
      <c r="B115" s="1004"/>
      <c r="C115" s="1005"/>
      <c r="D115" s="1005"/>
      <c r="E115" s="1005"/>
      <c r="F115" s="1005"/>
      <c r="G115" s="1006"/>
      <c r="H115" s="1004"/>
      <c r="I115" s="1005"/>
      <c r="J115" s="1005"/>
      <c r="K115" s="1005"/>
      <c r="L115" s="1006"/>
    </row>
    <row r="116" spans="2:12" x14ac:dyDescent="0.25">
      <c r="B116" s="1007" t="s">
        <v>1229</v>
      </c>
      <c r="C116" s="1008"/>
      <c r="D116" s="1008"/>
      <c r="E116" s="1008"/>
      <c r="F116" s="1008"/>
      <c r="G116" s="1009"/>
      <c r="H116" s="1003" t="s">
        <v>1230</v>
      </c>
      <c r="I116" s="1002"/>
      <c r="J116" s="1002"/>
      <c r="K116" s="1002"/>
      <c r="L116" s="1002"/>
    </row>
    <row r="117" spans="2:12" ht="30" customHeight="1" thickBot="1" x14ac:dyDescent="0.3">
      <c r="B117" s="1010"/>
      <c r="C117" s="1011"/>
      <c r="D117" s="1011"/>
      <c r="E117" s="1011"/>
      <c r="F117" s="1011"/>
      <c r="G117" s="1012"/>
      <c r="H117" s="1003"/>
      <c r="I117" s="1002"/>
      <c r="J117" s="1002"/>
      <c r="K117" s="1002"/>
      <c r="L117" s="1002"/>
    </row>
    <row r="118" spans="2:12" ht="15.75" customHeight="1" x14ac:dyDescent="0.25">
      <c r="B118" s="865"/>
      <c r="C118" s="866"/>
      <c r="D118" s="866"/>
      <c r="E118" s="866"/>
      <c r="F118" s="866"/>
      <c r="G118" s="867"/>
      <c r="H118" s="865"/>
      <c r="I118" s="866"/>
      <c r="J118" s="866"/>
      <c r="K118" s="866"/>
      <c r="L118" s="867"/>
    </row>
    <row r="119" spans="2:12" x14ac:dyDescent="0.25">
      <c r="B119" s="868"/>
      <c r="C119" s="869"/>
      <c r="D119" s="869"/>
      <c r="E119" s="869"/>
      <c r="F119" s="869"/>
      <c r="G119" s="870"/>
      <c r="H119" s="868"/>
      <c r="I119" s="869"/>
      <c r="J119" s="869"/>
      <c r="K119" s="869"/>
      <c r="L119" s="870"/>
    </row>
    <row r="120" spans="2:12" x14ac:dyDescent="0.25">
      <c r="B120" s="868"/>
      <c r="C120" s="869"/>
      <c r="D120" s="869"/>
      <c r="E120" s="869"/>
      <c r="F120" s="869"/>
      <c r="G120" s="870"/>
      <c r="H120" s="868"/>
      <c r="I120" s="869"/>
      <c r="J120" s="869"/>
      <c r="K120" s="869"/>
      <c r="L120" s="870"/>
    </row>
    <row r="121" spans="2:12" x14ac:dyDescent="0.25">
      <c r="B121" s="868"/>
      <c r="C121" s="869"/>
      <c r="D121" s="869"/>
      <c r="E121" s="869"/>
      <c r="F121" s="869"/>
      <c r="G121" s="870"/>
      <c r="H121" s="868"/>
      <c r="I121" s="869"/>
      <c r="J121" s="869"/>
      <c r="K121" s="869"/>
      <c r="L121" s="870"/>
    </row>
    <row r="122" spans="2:12" x14ac:dyDescent="0.25">
      <c r="B122" s="868"/>
      <c r="C122" s="869"/>
      <c r="D122" s="869"/>
      <c r="E122" s="869"/>
      <c r="F122" s="869"/>
      <c r="G122" s="870"/>
      <c r="H122" s="868"/>
      <c r="I122" s="869"/>
      <c r="J122" s="869"/>
      <c r="K122" s="869"/>
      <c r="L122" s="870"/>
    </row>
    <row r="123" spans="2:12" x14ac:dyDescent="0.25">
      <c r="B123" s="868"/>
      <c r="C123" s="869"/>
      <c r="D123" s="869"/>
      <c r="E123" s="869"/>
      <c r="F123" s="869"/>
      <c r="G123" s="870"/>
      <c r="H123" s="868"/>
      <c r="I123" s="869"/>
      <c r="J123" s="869"/>
      <c r="K123" s="869"/>
      <c r="L123" s="870"/>
    </row>
    <row r="124" spans="2:12" x14ac:dyDescent="0.25">
      <c r="B124" s="868"/>
      <c r="C124" s="869"/>
      <c r="D124" s="869"/>
      <c r="E124" s="869"/>
      <c r="F124" s="869"/>
      <c r="G124" s="870"/>
      <c r="H124" s="868"/>
      <c r="I124" s="869"/>
      <c r="J124" s="869"/>
      <c r="K124" s="869"/>
      <c r="L124" s="870"/>
    </row>
    <row r="125" spans="2:12" x14ac:dyDescent="0.25">
      <c r="B125" s="868"/>
      <c r="C125" s="869"/>
      <c r="D125" s="869"/>
      <c r="E125" s="869"/>
      <c r="F125" s="869"/>
      <c r="G125" s="870"/>
      <c r="H125" s="868"/>
      <c r="I125" s="869"/>
      <c r="J125" s="869"/>
      <c r="K125" s="869"/>
      <c r="L125" s="870"/>
    </row>
    <row r="126" spans="2:12" x14ac:dyDescent="0.25">
      <c r="B126" s="868"/>
      <c r="C126" s="869"/>
      <c r="D126" s="869"/>
      <c r="E126" s="869"/>
      <c r="F126" s="869"/>
      <c r="G126" s="870"/>
      <c r="H126" s="868"/>
      <c r="I126" s="869"/>
      <c r="J126" s="869"/>
      <c r="K126" s="869"/>
      <c r="L126" s="870"/>
    </row>
    <row r="127" spans="2:12" x14ac:dyDescent="0.25">
      <c r="B127" s="868"/>
      <c r="C127" s="869"/>
      <c r="D127" s="869"/>
      <c r="E127" s="869"/>
      <c r="F127" s="869"/>
      <c r="G127" s="870"/>
      <c r="H127" s="868"/>
      <c r="I127" s="869"/>
      <c r="J127" s="869"/>
      <c r="K127" s="869"/>
      <c r="L127" s="870"/>
    </row>
    <row r="128" spans="2:12" x14ac:dyDescent="0.25">
      <c r="B128" s="868"/>
      <c r="C128" s="869"/>
      <c r="D128" s="869"/>
      <c r="E128" s="869"/>
      <c r="F128" s="869"/>
      <c r="G128" s="870"/>
      <c r="H128" s="868"/>
      <c r="I128" s="869"/>
      <c r="J128" s="869"/>
      <c r="K128" s="869"/>
      <c r="L128" s="870"/>
    </row>
    <row r="129" spans="2:12" x14ac:dyDescent="0.25">
      <c r="B129" s="868"/>
      <c r="C129" s="869"/>
      <c r="D129" s="869"/>
      <c r="E129" s="869"/>
      <c r="F129" s="869"/>
      <c r="G129" s="870"/>
      <c r="H129" s="868"/>
      <c r="I129" s="869"/>
      <c r="J129" s="869"/>
      <c r="K129" s="869"/>
      <c r="L129" s="870"/>
    </row>
    <row r="130" spans="2:12" x14ac:dyDescent="0.25">
      <c r="B130" s="868"/>
      <c r="C130" s="869"/>
      <c r="D130" s="869"/>
      <c r="E130" s="869"/>
      <c r="F130" s="869"/>
      <c r="G130" s="870"/>
      <c r="H130" s="868"/>
      <c r="I130" s="869"/>
      <c r="J130" s="869"/>
      <c r="K130" s="869"/>
      <c r="L130" s="870"/>
    </row>
    <row r="131" spans="2:12" ht="15.75" thickBot="1" x14ac:dyDescent="0.3">
      <c r="B131" s="1004"/>
      <c r="C131" s="1005"/>
      <c r="D131" s="1005"/>
      <c r="E131" s="1005"/>
      <c r="F131" s="1005"/>
      <c r="G131" s="1006"/>
      <c r="H131" s="1004"/>
      <c r="I131" s="1005"/>
      <c r="J131" s="1005"/>
      <c r="K131" s="1005"/>
      <c r="L131" s="1006"/>
    </row>
    <row r="132" spans="2:12" x14ac:dyDescent="0.25">
      <c r="B132" s="1007" t="s">
        <v>1231</v>
      </c>
      <c r="C132" s="1008"/>
      <c r="D132" s="1008"/>
      <c r="E132" s="1008"/>
      <c r="F132" s="1008"/>
      <c r="G132" s="1009"/>
      <c r="H132" s="1003" t="s">
        <v>1232</v>
      </c>
      <c r="I132" s="1002"/>
      <c r="J132" s="1002"/>
      <c r="K132" s="1002"/>
      <c r="L132" s="1002"/>
    </row>
    <row r="133" spans="2:12" ht="35.25" customHeight="1" thickBot="1" x14ac:dyDescent="0.3">
      <c r="B133" s="1010"/>
      <c r="C133" s="1011"/>
      <c r="D133" s="1011"/>
      <c r="E133" s="1011"/>
      <c r="F133" s="1011"/>
      <c r="G133" s="1012"/>
      <c r="H133" s="1003"/>
      <c r="I133" s="1002"/>
      <c r="J133" s="1002"/>
      <c r="K133" s="1002"/>
      <c r="L133" s="1002"/>
    </row>
    <row r="134" spans="2:12" ht="15.75" customHeight="1" x14ac:dyDescent="0.25">
      <c r="B134" s="886" t="s">
        <v>453</v>
      </c>
      <c r="C134" s="887"/>
      <c r="D134" s="887"/>
      <c r="E134" s="887"/>
      <c r="F134" s="887"/>
      <c r="G134" s="888"/>
      <c r="H134" s="901" t="s">
        <v>454</v>
      </c>
      <c r="I134" s="902"/>
      <c r="J134" s="902"/>
      <c r="K134" s="902"/>
      <c r="L134" s="903"/>
    </row>
    <row r="135" spans="2:12" x14ac:dyDescent="0.25">
      <c r="B135" s="886"/>
      <c r="C135" s="887"/>
      <c r="D135" s="887"/>
      <c r="E135" s="887"/>
      <c r="F135" s="887"/>
      <c r="G135" s="888"/>
      <c r="H135" s="886"/>
      <c r="I135" s="887"/>
      <c r="J135" s="887"/>
      <c r="K135" s="887"/>
      <c r="L135" s="888"/>
    </row>
    <row r="136" spans="2:12" x14ac:dyDescent="0.25">
      <c r="B136" s="886"/>
      <c r="C136" s="887"/>
      <c r="D136" s="887"/>
      <c r="E136" s="887"/>
      <c r="F136" s="887"/>
      <c r="G136" s="888"/>
      <c r="H136" s="886"/>
      <c r="I136" s="887"/>
      <c r="J136" s="887"/>
      <c r="K136" s="887"/>
      <c r="L136" s="888"/>
    </row>
    <row r="137" spans="2:12" x14ac:dyDescent="0.25">
      <c r="B137" s="886"/>
      <c r="C137" s="887"/>
      <c r="D137" s="887"/>
      <c r="E137" s="887"/>
      <c r="F137" s="887"/>
      <c r="G137" s="888"/>
      <c r="H137" s="886"/>
      <c r="I137" s="887"/>
      <c r="J137" s="887"/>
      <c r="K137" s="887"/>
      <c r="L137" s="888"/>
    </row>
    <row r="138" spans="2:12" x14ac:dyDescent="0.25">
      <c r="B138" s="886"/>
      <c r="C138" s="887"/>
      <c r="D138" s="887"/>
      <c r="E138" s="887"/>
      <c r="F138" s="887"/>
      <c r="G138" s="888"/>
      <c r="H138" s="886"/>
      <c r="I138" s="887"/>
      <c r="J138" s="887"/>
      <c r="K138" s="887"/>
      <c r="L138" s="888"/>
    </row>
    <row r="139" spans="2:12" x14ac:dyDescent="0.25">
      <c r="B139" s="886"/>
      <c r="C139" s="887"/>
      <c r="D139" s="887"/>
      <c r="E139" s="887"/>
      <c r="F139" s="887"/>
      <c r="G139" s="888"/>
      <c r="H139" s="886"/>
      <c r="I139" s="887"/>
      <c r="J139" s="887"/>
      <c r="K139" s="887"/>
      <c r="L139" s="888"/>
    </row>
    <row r="140" spans="2:12" x14ac:dyDescent="0.25">
      <c r="B140" s="886"/>
      <c r="C140" s="887"/>
      <c r="D140" s="887"/>
      <c r="E140" s="887"/>
      <c r="F140" s="887"/>
      <c r="G140" s="888"/>
      <c r="H140" s="886"/>
      <c r="I140" s="887"/>
      <c r="J140" s="887"/>
      <c r="K140" s="887"/>
      <c r="L140" s="888"/>
    </row>
    <row r="141" spans="2:12" x14ac:dyDescent="0.25">
      <c r="B141" s="886"/>
      <c r="C141" s="887"/>
      <c r="D141" s="887"/>
      <c r="E141" s="887"/>
      <c r="F141" s="887"/>
      <c r="G141" s="888"/>
      <c r="H141" s="886"/>
      <c r="I141" s="887"/>
      <c r="J141" s="887"/>
      <c r="K141" s="887"/>
      <c r="L141" s="888"/>
    </row>
    <row r="142" spans="2:12" x14ac:dyDescent="0.25">
      <c r="B142" s="886"/>
      <c r="C142" s="887"/>
      <c r="D142" s="887"/>
      <c r="E142" s="887"/>
      <c r="F142" s="887"/>
      <c r="G142" s="888"/>
      <c r="H142" s="886"/>
      <c r="I142" s="887"/>
      <c r="J142" s="887"/>
      <c r="K142" s="887"/>
      <c r="L142" s="888"/>
    </row>
    <row r="143" spans="2:12" x14ac:dyDescent="0.25">
      <c r="B143" s="886"/>
      <c r="C143" s="887"/>
      <c r="D143" s="887"/>
      <c r="E143" s="887"/>
      <c r="F143" s="887"/>
      <c r="G143" s="888"/>
      <c r="H143" s="886"/>
      <c r="I143" s="887"/>
      <c r="J143" s="887"/>
      <c r="K143" s="887"/>
      <c r="L143" s="888"/>
    </row>
    <row r="144" spans="2:12" x14ac:dyDescent="0.25">
      <c r="B144" s="886"/>
      <c r="C144" s="887"/>
      <c r="D144" s="887"/>
      <c r="E144" s="887"/>
      <c r="F144" s="887"/>
      <c r="G144" s="888"/>
      <c r="H144" s="886"/>
      <c r="I144" s="887"/>
      <c r="J144" s="887"/>
      <c r="K144" s="887"/>
      <c r="L144" s="888"/>
    </row>
    <row r="145" spans="2:16" x14ac:dyDescent="0.25">
      <c r="B145" s="886"/>
      <c r="C145" s="887"/>
      <c r="D145" s="887"/>
      <c r="E145" s="887"/>
      <c r="F145" s="887"/>
      <c r="G145" s="888"/>
      <c r="H145" s="886"/>
      <c r="I145" s="887"/>
      <c r="J145" s="887"/>
      <c r="K145" s="887"/>
      <c r="L145" s="888"/>
    </row>
    <row r="146" spans="2:16" x14ac:dyDescent="0.25">
      <c r="B146" s="886"/>
      <c r="C146" s="887"/>
      <c r="D146" s="887"/>
      <c r="E146" s="887"/>
      <c r="F146" s="887"/>
      <c r="G146" s="888"/>
      <c r="H146" s="886"/>
      <c r="I146" s="887"/>
      <c r="J146" s="887"/>
      <c r="K146" s="887"/>
      <c r="L146" s="888"/>
    </row>
    <row r="147" spans="2:16" ht="15.75" thickBot="1" x14ac:dyDescent="0.3">
      <c r="B147" s="917"/>
      <c r="C147" s="918"/>
      <c r="D147" s="918"/>
      <c r="E147" s="918"/>
      <c r="F147" s="918"/>
      <c r="G147" s="919"/>
      <c r="H147" s="917"/>
      <c r="I147" s="918"/>
      <c r="J147" s="918"/>
      <c r="K147" s="918"/>
      <c r="L147" s="919"/>
    </row>
    <row r="148" spans="2:16" ht="25.5" customHeight="1" x14ac:dyDescent="0.25">
      <c r="B148" s="991" t="s">
        <v>1233</v>
      </c>
      <c r="C148" s="992"/>
      <c r="D148" s="992"/>
      <c r="E148" s="992"/>
      <c r="F148" s="992"/>
      <c r="G148" s="993"/>
      <c r="H148" s="1000" t="s">
        <v>1151</v>
      </c>
      <c r="I148" s="1001"/>
      <c r="J148" s="1001"/>
      <c r="K148" s="1001"/>
      <c r="L148" s="1001"/>
      <c r="M148" s="1002"/>
      <c r="P148" s="135"/>
    </row>
    <row r="149" spans="2:16" ht="23.25" customHeight="1" thickBot="1" x14ac:dyDescent="0.3">
      <c r="B149" s="994"/>
      <c r="C149" s="995"/>
      <c r="D149" s="995"/>
      <c r="E149" s="995"/>
      <c r="F149" s="995"/>
      <c r="G149" s="996"/>
      <c r="H149" s="1003"/>
      <c r="I149" s="1002"/>
      <c r="J149" s="1002"/>
      <c r="K149" s="1002"/>
      <c r="L149" s="1002"/>
      <c r="M149" s="1002"/>
    </row>
    <row r="150" spans="2:16" ht="15.75" customHeight="1" x14ac:dyDescent="0.25">
      <c r="B150" s="865"/>
      <c r="C150" s="866"/>
      <c r="D150" s="866"/>
      <c r="E150" s="866"/>
      <c r="F150" s="866"/>
      <c r="G150" s="867"/>
      <c r="H150" s="865"/>
      <c r="I150" s="866"/>
      <c r="J150" s="866"/>
      <c r="K150" s="866"/>
      <c r="L150" s="867"/>
    </row>
    <row r="151" spans="2:16" x14ac:dyDescent="0.25">
      <c r="B151" s="868"/>
      <c r="C151" s="869"/>
      <c r="D151" s="869"/>
      <c r="E151" s="869"/>
      <c r="F151" s="869"/>
      <c r="G151" s="870"/>
      <c r="H151" s="868"/>
      <c r="I151" s="869"/>
      <c r="J151" s="869"/>
      <c r="K151" s="869"/>
      <c r="L151" s="870"/>
    </row>
    <row r="152" spans="2:16" x14ac:dyDescent="0.25">
      <c r="B152" s="868"/>
      <c r="C152" s="869"/>
      <c r="D152" s="869"/>
      <c r="E152" s="869"/>
      <c r="F152" s="869"/>
      <c r="G152" s="870"/>
      <c r="H152" s="868"/>
      <c r="I152" s="869"/>
      <c r="J152" s="869"/>
      <c r="K152" s="869"/>
      <c r="L152" s="870"/>
    </row>
    <row r="153" spans="2:16" x14ac:dyDescent="0.25">
      <c r="B153" s="868"/>
      <c r="C153" s="869"/>
      <c r="D153" s="869"/>
      <c r="E153" s="869"/>
      <c r="F153" s="869"/>
      <c r="G153" s="870"/>
      <c r="H153" s="868"/>
      <c r="I153" s="869"/>
      <c r="J153" s="869"/>
      <c r="K153" s="869"/>
      <c r="L153" s="870"/>
    </row>
    <row r="154" spans="2:16" x14ac:dyDescent="0.25">
      <c r="B154" s="868"/>
      <c r="C154" s="869"/>
      <c r="D154" s="869"/>
      <c r="E154" s="869"/>
      <c r="F154" s="869"/>
      <c r="G154" s="870"/>
      <c r="H154" s="868"/>
      <c r="I154" s="869"/>
      <c r="J154" s="869"/>
      <c r="K154" s="869"/>
      <c r="L154" s="870"/>
    </row>
    <row r="155" spans="2:16" x14ac:dyDescent="0.25">
      <c r="B155" s="868"/>
      <c r="C155" s="869"/>
      <c r="D155" s="869"/>
      <c r="E155" s="869"/>
      <c r="F155" s="869"/>
      <c r="G155" s="870"/>
      <c r="H155" s="868"/>
      <c r="I155" s="869"/>
      <c r="J155" s="869"/>
      <c r="K155" s="869"/>
      <c r="L155" s="870"/>
    </row>
    <row r="156" spans="2:16" x14ac:dyDescent="0.25">
      <c r="B156" s="868"/>
      <c r="C156" s="869"/>
      <c r="D156" s="869"/>
      <c r="E156" s="869"/>
      <c r="F156" s="869"/>
      <c r="G156" s="870"/>
      <c r="H156" s="868"/>
      <c r="I156" s="869"/>
      <c r="J156" s="869"/>
      <c r="K156" s="869"/>
      <c r="L156" s="870"/>
    </row>
    <row r="157" spans="2:16" x14ac:dyDescent="0.25">
      <c r="B157" s="868"/>
      <c r="C157" s="869"/>
      <c r="D157" s="869"/>
      <c r="E157" s="869"/>
      <c r="F157" s="869"/>
      <c r="G157" s="870"/>
      <c r="H157" s="868"/>
      <c r="I157" s="869"/>
      <c r="J157" s="869"/>
      <c r="K157" s="869"/>
      <c r="L157" s="870"/>
    </row>
    <row r="158" spans="2:16" x14ac:dyDescent="0.25">
      <c r="B158" s="868"/>
      <c r="C158" s="869"/>
      <c r="D158" s="869"/>
      <c r="E158" s="869"/>
      <c r="F158" s="869"/>
      <c r="G158" s="870"/>
      <c r="H158" s="868"/>
      <c r="I158" s="869"/>
      <c r="J158" s="869"/>
      <c r="K158" s="869"/>
      <c r="L158" s="870"/>
    </row>
    <row r="159" spans="2:16" x14ac:dyDescent="0.25">
      <c r="B159" s="868"/>
      <c r="C159" s="869"/>
      <c r="D159" s="869"/>
      <c r="E159" s="869"/>
      <c r="F159" s="869"/>
      <c r="G159" s="870"/>
      <c r="H159" s="868"/>
      <c r="I159" s="869"/>
      <c r="J159" s="869"/>
      <c r="K159" s="869"/>
      <c r="L159" s="870"/>
    </row>
    <row r="160" spans="2:16" x14ac:dyDescent="0.25">
      <c r="B160" s="868"/>
      <c r="C160" s="869"/>
      <c r="D160" s="869"/>
      <c r="E160" s="869"/>
      <c r="F160" s="869"/>
      <c r="G160" s="870"/>
      <c r="H160" s="868"/>
      <c r="I160" s="869"/>
      <c r="J160" s="869"/>
      <c r="K160" s="869"/>
      <c r="L160" s="870"/>
    </row>
    <row r="161" spans="2:12" x14ac:dyDescent="0.25">
      <c r="B161" s="868"/>
      <c r="C161" s="869"/>
      <c r="D161" s="869"/>
      <c r="E161" s="869"/>
      <c r="F161" s="869"/>
      <c r="G161" s="870"/>
      <c r="H161" s="868"/>
      <c r="I161" s="869"/>
      <c r="J161" s="869"/>
      <c r="K161" s="869"/>
      <c r="L161" s="870"/>
    </row>
    <row r="162" spans="2:12" x14ac:dyDescent="0.25">
      <c r="B162" s="868"/>
      <c r="C162" s="869"/>
      <c r="D162" s="869"/>
      <c r="E162" s="869"/>
      <c r="F162" s="869"/>
      <c r="G162" s="870"/>
      <c r="H162" s="868"/>
      <c r="I162" s="869"/>
      <c r="J162" s="869"/>
      <c r="K162" s="869"/>
      <c r="L162" s="870"/>
    </row>
    <row r="163" spans="2:12" ht="15.75" thickBot="1" x14ac:dyDescent="0.3">
      <c r="B163" s="1004"/>
      <c r="C163" s="1005"/>
      <c r="D163" s="1005"/>
      <c r="E163" s="1005"/>
      <c r="F163" s="1005"/>
      <c r="G163" s="1006"/>
      <c r="H163" s="1004"/>
      <c r="I163" s="1005"/>
      <c r="J163" s="1005"/>
      <c r="K163" s="1005"/>
      <c r="L163" s="1006"/>
    </row>
    <row r="164" spans="2:12" ht="15" customHeight="1" x14ac:dyDescent="0.25">
      <c r="B164" s="1000" t="s">
        <v>1234</v>
      </c>
      <c r="C164" s="1001"/>
      <c r="D164" s="1001"/>
      <c r="E164" s="1001"/>
      <c r="F164" s="1001"/>
      <c r="G164" s="1002"/>
      <c r="H164" s="1003" t="s">
        <v>1235</v>
      </c>
      <c r="I164" s="1002"/>
      <c r="J164" s="1002"/>
      <c r="K164" s="1002"/>
      <c r="L164" s="1002"/>
    </row>
    <row r="165" spans="2:12" ht="30" customHeight="1" thickBot="1" x14ac:dyDescent="0.3">
      <c r="B165" s="1003"/>
      <c r="C165" s="1002"/>
      <c r="D165" s="1002"/>
      <c r="E165" s="1002"/>
      <c r="F165" s="1002"/>
      <c r="G165" s="1002"/>
      <c r="H165" s="1003"/>
      <c r="I165" s="1002"/>
      <c r="J165" s="1002"/>
      <c r="K165" s="1002"/>
      <c r="L165" s="1002"/>
    </row>
    <row r="166" spans="2:12" ht="15.75" customHeight="1" x14ac:dyDescent="0.25">
      <c r="B166" s="865"/>
      <c r="C166" s="866"/>
      <c r="D166" s="866"/>
      <c r="E166" s="866"/>
      <c r="F166" s="866"/>
      <c r="G166" s="867"/>
      <c r="H166" s="865"/>
      <c r="I166" s="866"/>
      <c r="J166" s="866"/>
      <c r="K166" s="866"/>
      <c r="L166" s="867"/>
    </row>
    <row r="167" spans="2:12" x14ac:dyDescent="0.25">
      <c r="B167" s="868"/>
      <c r="C167" s="869"/>
      <c r="D167" s="869"/>
      <c r="E167" s="869"/>
      <c r="F167" s="869"/>
      <c r="G167" s="870"/>
      <c r="H167" s="868"/>
      <c r="I167" s="869"/>
      <c r="J167" s="869"/>
      <c r="K167" s="869"/>
      <c r="L167" s="870"/>
    </row>
    <row r="168" spans="2:12" x14ac:dyDescent="0.25">
      <c r="B168" s="868"/>
      <c r="C168" s="869"/>
      <c r="D168" s="869"/>
      <c r="E168" s="869"/>
      <c r="F168" s="869"/>
      <c r="G168" s="870"/>
      <c r="H168" s="868"/>
      <c r="I168" s="869"/>
      <c r="J168" s="869"/>
      <c r="K168" s="869"/>
      <c r="L168" s="870"/>
    </row>
    <row r="169" spans="2:12" x14ac:dyDescent="0.25">
      <c r="B169" s="868"/>
      <c r="C169" s="869"/>
      <c r="D169" s="869"/>
      <c r="E169" s="869"/>
      <c r="F169" s="869"/>
      <c r="G169" s="870"/>
      <c r="H169" s="868"/>
      <c r="I169" s="869"/>
      <c r="J169" s="869"/>
      <c r="K169" s="869"/>
      <c r="L169" s="870"/>
    </row>
    <row r="170" spans="2:12" x14ac:dyDescent="0.25">
      <c r="B170" s="868"/>
      <c r="C170" s="869"/>
      <c r="D170" s="869"/>
      <c r="E170" s="869"/>
      <c r="F170" s="869"/>
      <c r="G170" s="870"/>
      <c r="H170" s="868"/>
      <c r="I170" s="869"/>
      <c r="J170" s="869"/>
      <c r="K170" s="869"/>
      <c r="L170" s="870"/>
    </row>
    <row r="171" spans="2:12" x14ac:dyDescent="0.25">
      <c r="B171" s="868"/>
      <c r="C171" s="869"/>
      <c r="D171" s="869"/>
      <c r="E171" s="869"/>
      <c r="F171" s="869"/>
      <c r="G171" s="870"/>
      <c r="H171" s="868"/>
      <c r="I171" s="869"/>
      <c r="J171" s="869"/>
      <c r="K171" s="869"/>
      <c r="L171" s="870"/>
    </row>
    <row r="172" spans="2:12" x14ac:dyDescent="0.25">
      <c r="B172" s="868"/>
      <c r="C172" s="869"/>
      <c r="D172" s="869"/>
      <c r="E172" s="869"/>
      <c r="F172" s="869"/>
      <c r="G172" s="870"/>
      <c r="H172" s="868"/>
      <c r="I172" s="869"/>
      <c r="J172" s="869"/>
      <c r="K172" s="869"/>
      <c r="L172" s="870"/>
    </row>
    <row r="173" spans="2:12" x14ac:dyDescent="0.25">
      <c r="B173" s="868"/>
      <c r="C173" s="869"/>
      <c r="D173" s="869"/>
      <c r="E173" s="869"/>
      <c r="F173" s="869"/>
      <c r="G173" s="870"/>
      <c r="H173" s="868"/>
      <c r="I173" s="869"/>
      <c r="J173" s="869"/>
      <c r="K173" s="869"/>
      <c r="L173" s="870"/>
    </row>
    <row r="174" spans="2:12" x14ac:dyDescent="0.25">
      <c r="B174" s="868"/>
      <c r="C174" s="869"/>
      <c r="D174" s="869"/>
      <c r="E174" s="869"/>
      <c r="F174" s="869"/>
      <c r="G174" s="870"/>
      <c r="H174" s="868"/>
      <c r="I174" s="869"/>
      <c r="J174" s="869"/>
      <c r="K174" s="869"/>
      <c r="L174" s="870"/>
    </row>
    <row r="175" spans="2:12" x14ac:dyDescent="0.25">
      <c r="B175" s="868"/>
      <c r="C175" s="869"/>
      <c r="D175" s="869"/>
      <c r="E175" s="869"/>
      <c r="F175" s="869"/>
      <c r="G175" s="870"/>
      <c r="H175" s="868"/>
      <c r="I175" s="869"/>
      <c r="J175" s="869"/>
      <c r="K175" s="869"/>
      <c r="L175" s="870"/>
    </row>
    <row r="176" spans="2:12" x14ac:dyDescent="0.25">
      <c r="B176" s="868"/>
      <c r="C176" s="869"/>
      <c r="D176" s="869"/>
      <c r="E176" s="869"/>
      <c r="F176" s="869"/>
      <c r="G176" s="870"/>
      <c r="H176" s="868"/>
      <c r="I176" s="869"/>
      <c r="J176" s="869"/>
      <c r="K176" s="869"/>
      <c r="L176" s="870"/>
    </row>
    <row r="177" spans="2:15" x14ac:dyDescent="0.25">
      <c r="B177" s="868"/>
      <c r="C177" s="869"/>
      <c r="D177" s="869"/>
      <c r="E177" s="869"/>
      <c r="F177" s="869"/>
      <c r="G177" s="870"/>
      <c r="H177" s="868"/>
      <c r="I177" s="869"/>
      <c r="J177" s="869"/>
      <c r="K177" s="869"/>
      <c r="L177" s="870"/>
    </row>
    <row r="178" spans="2:15" x14ac:dyDescent="0.25">
      <c r="B178" s="868"/>
      <c r="C178" s="869"/>
      <c r="D178" s="869"/>
      <c r="E178" s="869"/>
      <c r="F178" s="869"/>
      <c r="G178" s="870"/>
      <c r="H178" s="868"/>
      <c r="I178" s="869"/>
      <c r="J178" s="869"/>
      <c r="K178" s="869"/>
      <c r="L178" s="870"/>
    </row>
    <row r="179" spans="2:15" ht="15.75" thickBot="1" x14ac:dyDescent="0.3">
      <c r="B179" s="1004"/>
      <c r="C179" s="1005"/>
      <c r="D179" s="1005"/>
      <c r="E179" s="1005"/>
      <c r="F179" s="1005"/>
      <c r="G179" s="1006"/>
      <c r="H179" s="1004"/>
      <c r="I179" s="1005"/>
      <c r="J179" s="1005"/>
      <c r="K179" s="1005"/>
      <c r="L179" s="1006"/>
    </row>
    <row r="180" spans="2:15" ht="22.5" customHeight="1" x14ac:dyDescent="0.25">
      <c r="B180" s="1007" t="s">
        <v>1236</v>
      </c>
      <c r="C180" s="1008"/>
      <c r="D180" s="1008"/>
      <c r="E180" s="1008"/>
      <c r="F180" s="1008"/>
      <c r="G180" s="1009"/>
      <c r="H180" s="1003" t="s">
        <v>1237</v>
      </c>
      <c r="I180" s="1002"/>
      <c r="J180" s="1002"/>
      <c r="K180" s="1002"/>
      <c r="L180" s="1002"/>
    </row>
    <row r="181" spans="2:15" ht="15.75" thickBot="1" x14ac:dyDescent="0.3">
      <c r="B181" s="1010"/>
      <c r="C181" s="1011"/>
      <c r="D181" s="1011"/>
      <c r="E181" s="1011"/>
      <c r="F181" s="1011"/>
      <c r="G181" s="1012"/>
      <c r="H181" s="1003"/>
      <c r="I181" s="1002"/>
      <c r="J181" s="1002"/>
      <c r="K181" s="1002"/>
      <c r="L181" s="1002"/>
      <c r="O181" s="135"/>
    </row>
  </sheetData>
  <mergeCells count="51">
    <mergeCell ref="B180:G181"/>
    <mergeCell ref="H180:L181"/>
    <mergeCell ref="B150:G163"/>
    <mergeCell ref="H150:L163"/>
    <mergeCell ref="B164:G165"/>
    <mergeCell ref="H164:L165"/>
    <mergeCell ref="B166:G179"/>
    <mergeCell ref="H166:L179"/>
    <mergeCell ref="B132:G133"/>
    <mergeCell ref="H132:L133"/>
    <mergeCell ref="B134:G147"/>
    <mergeCell ref="H134:L147"/>
    <mergeCell ref="B148:G149"/>
    <mergeCell ref="H148:M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M37"/>
    <mergeCell ref="B38:G51"/>
    <mergeCell ref="H38:L51"/>
    <mergeCell ref="B52:G53"/>
    <mergeCell ref="H52:M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41" orientation="portrait" r:id="rId1"/>
  <headerFooter>
    <oddFooter>Página &amp;P&amp;R&amp;A</oddFooter>
  </headerFooter>
  <colBreaks count="1" manualBreakCount="1">
    <brk id="12" max="180"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598"/>
  <sheetViews>
    <sheetView zoomScale="85" zoomScaleNormal="85" workbookViewId="0">
      <selection activeCell="O142" sqref="N141:O142"/>
    </sheetView>
  </sheetViews>
  <sheetFormatPr baseColWidth="10" defaultColWidth="11.5703125" defaultRowHeight="15" x14ac:dyDescent="0.25"/>
  <cols>
    <col min="1" max="4" width="11.5703125" style="130"/>
    <col min="5" max="5" width="13.42578125" style="130" customWidth="1"/>
    <col min="6" max="6" width="7.42578125" style="130" customWidth="1"/>
    <col min="7" max="7" width="11.5703125" style="130"/>
    <col min="8" max="8" width="20" style="130" customWidth="1"/>
    <col min="9" max="16384" width="11.5703125" style="130"/>
  </cols>
  <sheetData>
    <row r="1" spans="1:11" x14ac:dyDescent="0.25">
      <c r="A1" s="939" t="s">
        <v>252</v>
      </c>
      <c r="B1" s="871"/>
      <c r="C1" s="871"/>
      <c r="D1" s="871"/>
      <c r="E1" s="871"/>
      <c r="F1" s="871"/>
      <c r="G1" s="871"/>
      <c r="H1" s="871"/>
      <c r="I1" s="871"/>
      <c r="J1" s="871"/>
      <c r="K1" s="921"/>
    </row>
    <row r="2" spans="1:11" ht="28.5" customHeight="1" x14ac:dyDescent="0.25">
      <c r="A2" s="940"/>
      <c r="B2" s="872"/>
      <c r="C2" s="872"/>
      <c r="D2" s="872"/>
      <c r="E2" s="872"/>
      <c r="F2" s="872"/>
      <c r="G2" s="872"/>
      <c r="H2" s="872"/>
      <c r="I2" s="872"/>
      <c r="J2" s="872"/>
      <c r="K2" s="923"/>
    </row>
    <row r="3" spans="1:11" x14ac:dyDescent="0.25">
      <c r="A3" s="926" t="s">
        <v>290</v>
      </c>
      <c r="B3" s="924"/>
      <c r="C3" s="924"/>
      <c r="D3" s="925"/>
      <c r="E3" s="97">
        <v>44159</v>
      </c>
      <c r="F3" s="926" t="s">
        <v>291</v>
      </c>
      <c r="G3" s="924"/>
      <c r="H3" s="925"/>
      <c r="I3" s="927">
        <v>44195</v>
      </c>
      <c r="J3" s="924"/>
      <c r="K3" s="925"/>
    </row>
    <row r="4" spans="1:11" ht="24" x14ac:dyDescent="0.25">
      <c r="A4" s="943" t="s">
        <v>251</v>
      </c>
      <c r="B4" s="928"/>
      <c r="C4" s="928"/>
      <c r="D4" s="928"/>
      <c r="E4" s="928"/>
      <c r="F4" s="928"/>
      <c r="G4" s="929"/>
      <c r="H4" s="340" t="s">
        <v>490</v>
      </c>
      <c r="I4" s="340" t="s">
        <v>2</v>
      </c>
      <c r="J4" s="884" t="s">
        <v>0</v>
      </c>
      <c r="K4" s="932"/>
    </row>
    <row r="5" spans="1:11" ht="24.75" thickBot="1" x14ac:dyDescent="0.3">
      <c r="A5" s="1013"/>
      <c r="B5" s="930"/>
      <c r="C5" s="930"/>
      <c r="D5" s="930"/>
      <c r="E5" s="930"/>
      <c r="F5" s="930"/>
      <c r="G5" s="931"/>
      <c r="H5" s="297" t="s">
        <v>491</v>
      </c>
      <c r="I5" s="340">
        <v>2</v>
      </c>
      <c r="J5" s="884" t="s">
        <v>292</v>
      </c>
      <c r="K5" s="932"/>
    </row>
    <row r="6" spans="1:11" ht="15.75" hidden="1" thickBot="1" x14ac:dyDescent="0.3">
      <c r="A6" s="886" t="s">
        <v>453</v>
      </c>
      <c r="B6" s="887"/>
      <c r="C6" s="887"/>
      <c r="D6" s="887"/>
      <c r="E6" s="887"/>
      <c r="F6" s="888"/>
      <c r="G6" s="886" t="s">
        <v>454</v>
      </c>
      <c r="H6" s="887"/>
      <c r="I6" s="887"/>
      <c r="J6" s="887"/>
      <c r="K6" s="888"/>
    </row>
    <row r="7" spans="1:11" ht="15.75" hidden="1" thickBot="1" x14ac:dyDescent="0.3">
      <c r="A7" s="886"/>
      <c r="B7" s="887"/>
      <c r="C7" s="887"/>
      <c r="D7" s="887"/>
      <c r="E7" s="887"/>
      <c r="F7" s="888"/>
      <c r="G7" s="886"/>
      <c r="H7" s="887"/>
      <c r="I7" s="887"/>
      <c r="J7" s="887"/>
      <c r="K7" s="888"/>
    </row>
    <row r="8" spans="1:11" ht="15.75" hidden="1" thickBot="1" x14ac:dyDescent="0.3">
      <c r="A8" s="886"/>
      <c r="B8" s="887"/>
      <c r="C8" s="887"/>
      <c r="D8" s="887"/>
      <c r="E8" s="887"/>
      <c r="F8" s="888"/>
      <c r="G8" s="886"/>
      <c r="H8" s="887"/>
      <c r="I8" s="887"/>
      <c r="J8" s="887"/>
      <c r="K8" s="888"/>
    </row>
    <row r="9" spans="1:11" ht="15.75" hidden="1" thickBot="1" x14ac:dyDescent="0.3">
      <c r="A9" s="886"/>
      <c r="B9" s="887"/>
      <c r="C9" s="887"/>
      <c r="D9" s="887"/>
      <c r="E9" s="887"/>
      <c r="F9" s="888"/>
      <c r="G9" s="886"/>
      <c r="H9" s="887"/>
      <c r="I9" s="887"/>
      <c r="J9" s="887"/>
      <c r="K9" s="888"/>
    </row>
    <row r="10" spans="1:11" ht="15.75" hidden="1" thickBot="1" x14ac:dyDescent="0.3">
      <c r="A10" s="886"/>
      <c r="B10" s="887"/>
      <c r="C10" s="887"/>
      <c r="D10" s="887"/>
      <c r="E10" s="887"/>
      <c r="F10" s="888"/>
      <c r="G10" s="886"/>
      <c r="H10" s="887"/>
      <c r="I10" s="887"/>
      <c r="J10" s="887"/>
      <c r="K10" s="888"/>
    </row>
    <row r="11" spans="1:11" ht="15.75" hidden="1" thickBot="1" x14ac:dyDescent="0.3">
      <c r="A11" s="886"/>
      <c r="B11" s="887"/>
      <c r="C11" s="887"/>
      <c r="D11" s="887"/>
      <c r="E11" s="887"/>
      <c r="F11" s="888"/>
      <c r="G11" s="886"/>
      <c r="H11" s="887"/>
      <c r="I11" s="887"/>
      <c r="J11" s="887"/>
      <c r="K11" s="888"/>
    </row>
    <row r="12" spans="1:11" ht="15.75" hidden="1" thickBot="1" x14ac:dyDescent="0.3">
      <c r="A12" s="886"/>
      <c r="B12" s="887"/>
      <c r="C12" s="887"/>
      <c r="D12" s="887"/>
      <c r="E12" s="887"/>
      <c r="F12" s="888"/>
      <c r="G12" s="886"/>
      <c r="H12" s="887"/>
      <c r="I12" s="887"/>
      <c r="J12" s="887"/>
      <c r="K12" s="888"/>
    </row>
    <row r="13" spans="1:11" ht="15.75" hidden="1" thickBot="1" x14ac:dyDescent="0.3">
      <c r="A13" s="886"/>
      <c r="B13" s="887"/>
      <c r="C13" s="887"/>
      <c r="D13" s="887"/>
      <c r="E13" s="887"/>
      <c r="F13" s="888"/>
      <c r="G13" s="886"/>
      <c r="H13" s="887"/>
      <c r="I13" s="887"/>
      <c r="J13" s="887"/>
      <c r="K13" s="888"/>
    </row>
    <row r="14" spans="1:11" ht="15.75" hidden="1" thickBot="1" x14ac:dyDescent="0.3">
      <c r="A14" s="886"/>
      <c r="B14" s="887"/>
      <c r="C14" s="887"/>
      <c r="D14" s="887"/>
      <c r="E14" s="887"/>
      <c r="F14" s="888"/>
      <c r="G14" s="886"/>
      <c r="H14" s="887"/>
      <c r="I14" s="887"/>
      <c r="J14" s="887"/>
      <c r="K14" s="888"/>
    </row>
    <row r="15" spans="1:11" ht="15.75" hidden="1" thickBot="1" x14ac:dyDescent="0.3">
      <c r="A15" s="886"/>
      <c r="B15" s="887"/>
      <c r="C15" s="887"/>
      <c r="D15" s="887"/>
      <c r="E15" s="887"/>
      <c r="F15" s="888"/>
      <c r="G15" s="886"/>
      <c r="H15" s="887"/>
      <c r="I15" s="887"/>
      <c r="J15" s="887"/>
      <c r="K15" s="888"/>
    </row>
    <row r="16" spans="1:11" ht="15.75" hidden="1" thickBot="1" x14ac:dyDescent="0.3">
      <c r="A16" s="886"/>
      <c r="B16" s="887"/>
      <c r="C16" s="887"/>
      <c r="D16" s="887"/>
      <c r="E16" s="887"/>
      <c r="F16" s="888"/>
      <c r="G16" s="886"/>
      <c r="H16" s="887"/>
      <c r="I16" s="887"/>
      <c r="J16" s="887"/>
      <c r="K16" s="888"/>
    </row>
    <row r="17" spans="1:11" ht="15.75" hidden="1" thickBot="1" x14ac:dyDescent="0.3">
      <c r="A17" s="886"/>
      <c r="B17" s="887"/>
      <c r="C17" s="887"/>
      <c r="D17" s="887"/>
      <c r="E17" s="887"/>
      <c r="F17" s="888"/>
      <c r="G17" s="886"/>
      <c r="H17" s="887"/>
      <c r="I17" s="887"/>
      <c r="J17" s="887"/>
      <c r="K17" s="888"/>
    </row>
    <row r="18" spans="1:11" ht="15.75" hidden="1" thickBot="1" x14ac:dyDescent="0.3">
      <c r="A18" s="886"/>
      <c r="B18" s="887"/>
      <c r="C18" s="887"/>
      <c r="D18" s="887"/>
      <c r="E18" s="887"/>
      <c r="F18" s="888"/>
      <c r="G18" s="886"/>
      <c r="H18" s="887"/>
      <c r="I18" s="887"/>
      <c r="J18" s="887"/>
      <c r="K18" s="888"/>
    </row>
    <row r="19" spans="1:11" ht="15.75" hidden="1" thickBot="1" x14ac:dyDescent="0.3">
      <c r="A19" s="886"/>
      <c r="B19" s="887"/>
      <c r="C19" s="887"/>
      <c r="D19" s="887"/>
      <c r="E19" s="887"/>
      <c r="F19" s="888"/>
      <c r="G19" s="886"/>
      <c r="H19" s="887"/>
      <c r="I19" s="887"/>
      <c r="J19" s="887"/>
      <c r="K19" s="888"/>
    </row>
    <row r="20" spans="1:11" ht="15.75" hidden="1" thickBot="1" x14ac:dyDescent="0.3">
      <c r="A20" s="1014" t="s">
        <v>550</v>
      </c>
      <c r="B20" s="1015"/>
      <c r="C20" s="1015"/>
      <c r="D20" s="1015"/>
      <c r="E20" s="1015"/>
      <c r="F20" s="1016"/>
      <c r="G20" s="1020" t="s">
        <v>560</v>
      </c>
      <c r="H20" s="1021"/>
      <c r="I20" s="1021"/>
      <c r="J20" s="1021"/>
      <c r="K20" s="1022"/>
    </row>
    <row r="21" spans="1:11" ht="15.75" hidden="1" thickBot="1" x14ac:dyDescent="0.3">
      <c r="A21" s="1017"/>
      <c r="B21" s="1018"/>
      <c r="C21" s="1018"/>
      <c r="D21" s="1018"/>
      <c r="E21" s="1018"/>
      <c r="F21" s="1019"/>
      <c r="G21" s="1023"/>
      <c r="H21" s="1024"/>
      <c r="I21" s="1024"/>
      <c r="J21" s="1024"/>
      <c r="K21" s="1025"/>
    </row>
    <row r="22" spans="1:11" ht="15.75" hidden="1" thickBot="1" x14ac:dyDescent="0.3">
      <c r="A22" s="901" t="s">
        <v>502</v>
      </c>
      <c r="B22" s="902"/>
      <c r="C22" s="902"/>
      <c r="D22" s="902"/>
      <c r="E22" s="902"/>
      <c r="F22" s="903"/>
      <c r="G22" s="901" t="s">
        <v>503</v>
      </c>
      <c r="H22" s="902"/>
      <c r="I22" s="902"/>
      <c r="J22" s="902"/>
      <c r="K22" s="903"/>
    </row>
    <row r="23" spans="1:11" ht="15.75" hidden="1" thickBot="1" x14ac:dyDescent="0.3">
      <c r="A23" s="886"/>
      <c r="B23" s="887"/>
      <c r="C23" s="887"/>
      <c r="D23" s="887"/>
      <c r="E23" s="887"/>
      <c r="F23" s="888"/>
      <c r="G23" s="886"/>
      <c r="H23" s="887"/>
      <c r="I23" s="887"/>
      <c r="J23" s="887"/>
      <c r="K23" s="888"/>
    </row>
    <row r="24" spans="1:11" ht="15.75" hidden="1" thickBot="1" x14ac:dyDescent="0.3">
      <c r="A24" s="886"/>
      <c r="B24" s="887"/>
      <c r="C24" s="887"/>
      <c r="D24" s="887"/>
      <c r="E24" s="887"/>
      <c r="F24" s="888"/>
      <c r="G24" s="886"/>
      <c r="H24" s="887"/>
      <c r="I24" s="887"/>
      <c r="J24" s="887"/>
      <c r="K24" s="888"/>
    </row>
    <row r="25" spans="1:11" ht="15.75" hidden="1" thickBot="1" x14ac:dyDescent="0.3">
      <c r="A25" s="886"/>
      <c r="B25" s="887"/>
      <c r="C25" s="887"/>
      <c r="D25" s="887"/>
      <c r="E25" s="887"/>
      <c r="F25" s="888"/>
      <c r="G25" s="886"/>
      <c r="H25" s="887"/>
      <c r="I25" s="887"/>
      <c r="J25" s="887"/>
      <c r="K25" s="888"/>
    </row>
    <row r="26" spans="1:11" ht="15.75" hidden="1" thickBot="1" x14ac:dyDescent="0.3">
      <c r="A26" s="886"/>
      <c r="B26" s="887"/>
      <c r="C26" s="887"/>
      <c r="D26" s="887"/>
      <c r="E26" s="887"/>
      <c r="F26" s="888"/>
      <c r="G26" s="886"/>
      <c r="H26" s="887"/>
      <c r="I26" s="887"/>
      <c r="J26" s="887"/>
      <c r="K26" s="888"/>
    </row>
    <row r="27" spans="1:11" ht="15.75" hidden="1" thickBot="1" x14ac:dyDescent="0.3">
      <c r="A27" s="886"/>
      <c r="B27" s="887"/>
      <c r="C27" s="887"/>
      <c r="D27" s="887"/>
      <c r="E27" s="887"/>
      <c r="F27" s="888"/>
      <c r="G27" s="886"/>
      <c r="H27" s="887"/>
      <c r="I27" s="887"/>
      <c r="J27" s="887"/>
      <c r="K27" s="888"/>
    </row>
    <row r="28" spans="1:11" ht="15.75" hidden="1" thickBot="1" x14ac:dyDescent="0.3">
      <c r="A28" s="886"/>
      <c r="B28" s="887"/>
      <c r="C28" s="887"/>
      <c r="D28" s="887"/>
      <c r="E28" s="887"/>
      <c r="F28" s="888"/>
      <c r="G28" s="886"/>
      <c r="H28" s="887"/>
      <c r="I28" s="887"/>
      <c r="J28" s="887"/>
      <c r="K28" s="888"/>
    </row>
    <row r="29" spans="1:11" ht="15.75" hidden="1" thickBot="1" x14ac:dyDescent="0.3">
      <c r="A29" s="886"/>
      <c r="B29" s="887"/>
      <c r="C29" s="887"/>
      <c r="D29" s="887"/>
      <c r="E29" s="887"/>
      <c r="F29" s="888"/>
      <c r="G29" s="886"/>
      <c r="H29" s="887"/>
      <c r="I29" s="887"/>
      <c r="J29" s="887"/>
      <c r="K29" s="888"/>
    </row>
    <row r="30" spans="1:11" ht="15.75" hidden="1" thickBot="1" x14ac:dyDescent="0.3">
      <c r="A30" s="886"/>
      <c r="B30" s="887"/>
      <c r="C30" s="887"/>
      <c r="D30" s="887"/>
      <c r="E30" s="887"/>
      <c r="F30" s="888"/>
      <c r="G30" s="886"/>
      <c r="H30" s="887"/>
      <c r="I30" s="887"/>
      <c r="J30" s="887"/>
      <c r="K30" s="888"/>
    </row>
    <row r="31" spans="1:11" ht="15.75" hidden="1" thickBot="1" x14ac:dyDescent="0.3">
      <c r="A31" s="886"/>
      <c r="B31" s="887"/>
      <c r="C31" s="887"/>
      <c r="D31" s="887"/>
      <c r="E31" s="887"/>
      <c r="F31" s="888"/>
      <c r="G31" s="886"/>
      <c r="H31" s="887"/>
      <c r="I31" s="887"/>
      <c r="J31" s="887"/>
      <c r="K31" s="888"/>
    </row>
    <row r="32" spans="1:11" ht="15.75" hidden="1" thickBot="1" x14ac:dyDescent="0.3">
      <c r="A32" s="886"/>
      <c r="B32" s="887"/>
      <c r="C32" s="887"/>
      <c r="D32" s="887"/>
      <c r="E32" s="887"/>
      <c r="F32" s="888"/>
      <c r="G32" s="886"/>
      <c r="H32" s="887"/>
      <c r="I32" s="887"/>
      <c r="J32" s="887"/>
      <c r="K32" s="888"/>
    </row>
    <row r="33" spans="1:11" ht="15.75" hidden="1" thickBot="1" x14ac:dyDescent="0.3">
      <c r="A33" s="886"/>
      <c r="B33" s="887"/>
      <c r="C33" s="887"/>
      <c r="D33" s="887"/>
      <c r="E33" s="887"/>
      <c r="F33" s="888"/>
      <c r="G33" s="886"/>
      <c r="H33" s="887"/>
      <c r="I33" s="887"/>
      <c r="J33" s="887"/>
      <c r="K33" s="888"/>
    </row>
    <row r="34" spans="1:11" ht="15.75" hidden="1" thickBot="1" x14ac:dyDescent="0.3">
      <c r="A34" s="886"/>
      <c r="B34" s="887"/>
      <c r="C34" s="887"/>
      <c r="D34" s="887"/>
      <c r="E34" s="887"/>
      <c r="F34" s="888"/>
      <c r="G34" s="886"/>
      <c r="H34" s="887"/>
      <c r="I34" s="887"/>
      <c r="J34" s="887"/>
      <c r="K34" s="888"/>
    </row>
    <row r="35" spans="1:11" ht="15.75" hidden="1" thickBot="1" x14ac:dyDescent="0.3">
      <c r="A35" s="886"/>
      <c r="B35" s="887"/>
      <c r="C35" s="887"/>
      <c r="D35" s="887"/>
      <c r="E35" s="887"/>
      <c r="F35" s="888"/>
      <c r="G35" s="886"/>
      <c r="H35" s="887"/>
      <c r="I35" s="887"/>
      <c r="J35" s="887"/>
      <c r="K35" s="888"/>
    </row>
    <row r="36" spans="1:11" ht="15.75" hidden="1" thickBot="1" x14ac:dyDescent="0.3">
      <c r="A36" s="1014" t="s">
        <v>533</v>
      </c>
      <c r="B36" s="1015"/>
      <c r="C36" s="1015"/>
      <c r="D36" s="1015"/>
      <c r="E36" s="1015"/>
      <c r="F36" s="1016"/>
      <c r="G36" s="1020" t="s">
        <v>538</v>
      </c>
      <c r="H36" s="1021"/>
      <c r="I36" s="1021"/>
      <c r="J36" s="1021"/>
      <c r="K36" s="1022"/>
    </row>
    <row r="37" spans="1:11" ht="15.75" hidden="1" thickBot="1" x14ac:dyDescent="0.3">
      <c r="A37" s="1017"/>
      <c r="B37" s="1018"/>
      <c r="C37" s="1018"/>
      <c r="D37" s="1018"/>
      <c r="E37" s="1018"/>
      <c r="F37" s="1019"/>
      <c r="G37" s="1023"/>
      <c r="H37" s="1024"/>
      <c r="I37" s="1024"/>
      <c r="J37" s="1024"/>
      <c r="K37" s="1025"/>
    </row>
    <row r="38" spans="1:11" ht="15.75" hidden="1" thickBot="1" x14ac:dyDescent="0.3">
      <c r="A38" s="901" t="s">
        <v>504</v>
      </c>
      <c r="B38" s="902"/>
      <c r="C38" s="902"/>
      <c r="D38" s="902"/>
      <c r="E38" s="902"/>
      <c r="F38" s="903"/>
      <c r="G38" s="901" t="s">
        <v>505</v>
      </c>
      <c r="H38" s="902"/>
      <c r="I38" s="902"/>
      <c r="J38" s="902"/>
      <c r="K38" s="903"/>
    </row>
    <row r="39" spans="1:11" ht="15.75" hidden="1" thickBot="1" x14ac:dyDescent="0.3">
      <c r="A39" s="886"/>
      <c r="B39" s="887"/>
      <c r="C39" s="887"/>
      <c r="D39" s="887"/>
      <c r="E39" s="887"/>
      <c r="F39" s="888"/>
      <c r="G39" s="886"/>
      <c r="H39" s="887"/>
      <c r="I39" s="887"/>
      <c r="J39" s="887"/>
      <c r="K39" s="888"/>
    </row>
    <row r="40" spans="1:11" ht="15.75" hidden="1" thickBot="1" x14ac:dyDescent="0.3">
      <c r="A40" s="886"/>
      <c r="B40" s="887"/>
      <c r="C40" s="887"/>
      <c r="D40" s="887"/>
      <c r="E40" s="887"/>
      <c r="F40" s="888"/>
      <c r="G40" s="886"/>
      <c r="H40" s="887"/>
      <c r="I40" s="887"/>
      <c r="J40" s="887"/>
      <c r="K40" s="888"/>
    </row>
    <row r="41" spans="1:11" ht="15.75" hidden="1" thickBot="1" x14ac:dyDescent="0.3">
      <c r="A41" s="886"/>
      <c r="B41" s="887"/>
      <c r="C41" s="887"/>
      <c r="D41" s="887"/>
      <c r="E41" s="887"/>
      <c r="F41" s="888"/>
      <c r="G41" s="886"/>
      <c r="H41" s="887"/>
      <c r="I41" s="887"/>
      <c r="J41" s="887"/>
      <c r="K41" s="888"/>
    </row>
    <row r="42" spans="1:11" ht="15.75" hidden="1" thickBot="1" x14ac:dyDescent="0.3">
      <c r="A42" s="886"/>
      <c r="B42" s="887"/>
      <c r="C42" s="887"/>
      <c r="D42" s="887"/>
      <c r="E42" s="887"/>
      <c r="F42" s="888"/>
      <c r="G42" s="886"/>
      <c r="H42" s="887"/>
      <c r="I42" s="887"/>
      <c r="J42" s="887"/>
      <c r="K42" s="888"/>
    </row>
    <row r="43" spans="1:11" ht="15.75" hidden="1" thickBot="1" x14ac:dyDescent="0.3">
      <c r="A43" s="886"/>
      <c r="B43" s="887"/>
      <c r="C43" s="887"/>
      <c r="D43" s="887"/>
      <c r="E43" s="887"/>
      <c r="F43" s="888"/>
      <c r="G43" s="886"/>
      <c r="H43" s="887"/>
      <c r="I43" s="887"/>
      <c r="J43" s="887"/>
      <c r="K43" s="888"/>
    </row>
    <row r="44" spans="1:11" ht="15.75" hidden="1" thickBot="1" x14ac:dyDescent="0.3">
      <c r="A44" s="886"/>
      <c r="B44" s="887"/>
      <c r="C44" s="887"/>
      <c r="D44" s="887"/>
      <c r="E44" s="887"/>
      <c r="F44" s="888"/>
      <c r="G44" s="886"/>
      <c r="H44" s="887"/>
      <c r="I44" s="887"/>
      <c r="J44" s="887"/>
      <c r="K44" s="888"/>
    </row>
    <row r="45" spans="1:11" ht="15.75" hidden="1" thickBot="1" x14ac:dyDescent="0.3">
      <c r="A45" s="886"/>
      <c r="B45" s="887"/>
      <c r="C45" s="887"/>
      <c r="D45" s="887"/>
      <c r="E45" s="887"/>
      <c r="F45" s="888"/>
      <c r="G45" s="886"/>
      <c r="H45" s="887"/>
      <c r="I45" s="887"/>
      <c r="J45" s="887"/>
      <c r="K45" s="888"/>
    </row>
    <row r="46" spans="1:11" ht="15.75" hidden="1" thickBot="1" x14ac:dyDescent="0.3">
      <c r="A46" s="886"/>
      <c r="B46" s="887"/>
      <c r="C46" s="887"/>
      <c r="D46" s="887"/>
      <c r="E46" s="887"/>
      <c r="F46" s="888"/>
      <c r="G46" s="886"/>
      <c r="H46" s="887"/>
      <c r="I46" s="887"/>
      <c r="J46" s="887"/>
      <c r="K46" s="888"/>
    </row>
    <row r="47" spans="1:11" ht="15.75" hidden="1" thickBot="1" x14ac:dyDescent="0.3">
      <c r="A47" s="886"/>
      <c r="B47" s="887"/>
      <c r="C47" s="887"/>
      <c r="D47" s="887"/>
      <c r="E47" s="887"/>
      <c r="F47" s="888"/>
      <c r="G47" s="886"/>
      <c r="H47" s="887"/>
      <c r="I47" s="887"/>
      <c r="J47" s="887"/>
      <c r="K47" s="888"/>
    </row>
    <row r="48" spans="1:11" ht="15.75" hidden="1" thickBot="1" x14ac:dyDescent="0.3">
      <c r="A48" s="886"/>
      <c r="B48" s="887"/>
      <c r="C48" s="887"/>
      <c r="D48" s="887"/>
      <c r="E48" s="887"/>
      <c r="F48" s="888"/>
      <c r="G48" s="886"/>
      <c r="H48" s="887"/>
      <c r="I48" s="887"/>
      <c r="J48" s="887"/>
      <c r="K48" s="888"/>
    </row>
    <row r="49" spans="1:11" ht="15.75" hidden="1" thickBot="1" x14ac:dyDescent="0.3">
      <c r="A49" s="886"/>
      <c r="B49" s="887"/>
      <c r="C49" s="887"/>
      <c r="D49" s="887"/>
      <c r="E49" s="887"/>
      <c r="F49" s="888"/>
      <c r="G49" s="886"/>
      <c r="H49" s="887"/>
      <c r="I49" s="887"/>
      <c r="J49" s="887"/>
      <c r="K49" s="888"/>
    </row>
    <row r="50" spans="1:11" ht="15.75" hidden="1" thickBot="1" x14ac:dyDescent="0.3">
      <c r="A50" s="886"/>
      <c r="B50" s="887"/>
      <c r="C50" s="887"/>
      <c r="D50" s="887"/>
      <c r="E50" s="887"/>
      <c r="F50" s="888"/>
      <c r="G50" s="886"/>
      <c r="H50" s="887"/>
      <c r="I50" s="887"/>
      <c r="J50" s="887"/>
      <c r="K50" s="888"/>
    </row>
    <row r="51" spans="1:11" ht="15.75" hidden="1" thickBot="1" x14ac:dyDescent="0.3">
      <c r="A51" s="886"/>
      <c r="B51" s="887"/>
      <c r="C51" s="887"/>
      <c r="D51" s="887"/>
      <c r="E51" s="887"/>
      <c r="F51" s="888"/>
      <c r="G51" s="886"/>
      <c r="H51" s="887"/>
      <c r="I51" s="887"/>
      <c r="J51" s="887"/>
      <c r="K51" s="888"/>
    </row>
    <row r="52" spans="1:11" ht="15.75" hidden="1" thickBot="1" x14ac:dyDescent="0.3">
      <c r="A52" s="1020" t="s">
        <v>531</v>
      </c>
      <c r="B52" s="1021"/>
      <c r="C52" s="1021"/>
      <c r="D52" s="1021"/>
      <c r="E52" s="1021"/>
      <c r="F52" s="1022"/>
      <c r="G52" s="1020" t="s">
        <v>539</v>
      </c>
      <c r="H52" s="1021"/>
      <c r="I52" s="1021"/>
      <c r="J52" s="1021"/>
      <c r="K52" s="1022"/>
    </row>
    <row r="53" spans="1:11" ht="15.75" hidden="1" thickBot="1" x14ac:dyDescent="0.3">
      <c r="A53" s="1023"/>
      <c r="B53" s="1024"/>
      <c r="C53" s="1024"/>
      <c r="D53" s="1024"/>
      <c r="E53" s="1024"/>
      <c r="F53" s="1025"/>
      <c r="G53" s="1023"/>
      <c r="H53" s="1024"/>
      <c r="I53" s="1024"/>
      <c r="J53" s="1024"/>
      <c r="K53" s="1025"/>
    </row>
    <row r="54" spans="1:11" ht="15.75" hidden="1" thickBot="1" x14ac:dyDescent="0.3">
      <c r="A54" s="886"/>
      <c r="B54" s="887"/>
      <c r="C54" s="887"/>
      <c r="D54" s="887"/>
      <c r="E54" s="887"/>
      <c r="F54" s="888"/>
      <c r="G54" s="886" t="s">
        <v>454</v>
      </c>
      <c r="H54" s="887"/>
      <c r="I54" s="887"/>
      <c r="J54" s="887"/>
      <c r="K54" s="888"/>
    </row>
    <row r="55" spans="1:11" ht="15.75" hidden="1" thickBot="1" x14ac:dyDescent="0.3">
      <c r="A55" s="886"/>
      <c r="B55" s="887"/>
      <c r="C55" s="887"/>
      <c r="D55" s="887"/>
      <c r="E55" s="887"/>
      <c r="F55" s="888"/>
      <c r="G55" s="886"/>
      <c r="H55" s="887"/>
      <c r="I55" s="887"/>
      <c r="J55" s="887"/>
      <c r="K55" s="888"/>
    </row>
    <row r="56" spans="1:11" ht="15.75" hidden="1" thickBot="1" x14ac:dyDescent="0.3">
      <c r="A56" s="886"/>
      <c r="B56" s="887"/>
      <c r="C56" s="887"/>
      <c r="D56" s="887"/>
      <c r="E56" s="887"/>
      <c r="F56" s="888"/>
      <c r="G56" s="886"/>
      <c r="H56" s="887"/>
      <c r="I56" s="887"/>
      <c r="J56" s="887"/>
      <c r="K56" s="888"/>
    </row>
    <row r="57" spans="1:11" ht="15.75" hidden="1" thickBot="1" x14ac:dyDescent="0.3">
      <c r="A57" s="886"/>
      <c r="B57" s="887"/>
      <c r="C57" s="887"/>
      <c r="D57" s="887"/>
      <c r="E57" s="887"/>
      <c r="F57" s="888"/>
      <c r="G57" s="886"/>
      <c r="H57" s="887"/>
      <c r="I57" s="887"/>
      <c r="J57" s="887"/>
      <c r="K57" s="888"/>
    </row>
    <row r="58" spans="1:11" ht="15.75" hidden="1" thickBot="1" x14ac:dyDescent="0.3">
      <c r="A58" s="886"/>
      <c r="B58" s="887"/>
      <c r="C58" s="887"/>
      <c r="D58" s="887"/>
      <c r="E58" s="887"/>
      <c r="F58" s="888"/>
      <c r="G58" s="886"/>
      <c r="H58" s="887"/>
      <c r="I58" s="887"/>
      <c r="J58" s="887"/>
      <c r="K58" s="888"/>
    </row>
    <row r="59" spans="1:11" ht="15.75" hidden="1" thickBot="1" x14ac:dyDescent="0.3">
      <c r="A59" s="886"/>
      <c r="B59" s="887"/>
      <c r="C59" s="887"/>
      <c r="D59" s="887"/>
      <c r="E59" s="887"/>
      <c r="F59" s="888"/>
      <c r="G59" s="886"/>
      <c r="H59" s="887"/>
      <c r="I59" s="887"/>
      <c r="J59" s="887"/>
      <c r="K59" s="888"/>
    </row>
    <row r="60" spans="1:11" ht="15.75" hidden="1" thickBot="1" x14ac:dyDescent="0.3">
      <c r="A60" s="886"/>
      <c r="B60" s="887"/>
      <c r="C60" s="887"/>
      <c r="D60" s="887"/>
      <c r="E60" s="887"/>
      <c r="F60" s="888"/>
      <c r="G60" s="886"/>
      <c r="H60" s="887"/>
      <c r="I60" s="887"/>
      <c r="J60" s="887"/>
      <c r="K60" s="888"/>
    </row>
    <row r="61" spans="1:11" ht="15.75" hidden="1" thickBot="1" x14ac:dyDescent="0.3">
      <c r="A61" s="886"/>
      <c r="B61" s="887"/>
      <c r="C61" s="887"/>
      <c r="D61" s="887"/>
      <c r="E61" s="887"/>
      <c r="F61" s="888"/>
      <c r="G61" s="886"/>
      <c r="H61" s="887"/>
      <c r="I61" s="887"/>
      <c r="J61" s="887"/>
      <c r="K61" s="888"/>
    </row>
    <row r="62" spans="1:11" ht="15.75" hidden="1" thickBot="1" x14ac:dyDescent="0.3">
      <c r="A62" s="886"/>
      <c r="B62" s="887"/>
      <c r="C62" s="887"/>
      <c r="D62" s="887"/>
      <c r="E62" s="887"/>
      <c r="F62" s="888"/>
      <c r="G62" s="886"/>
      <c r="H62" s="887"/>
      <c r="I62" s="887"/>
      <c r="J62" s="887"/>
      <c r="K62" s="888"/>
    </row>
    <row r="63" spans="1:11" ht="15.75" hidden="1" thickBot="1" x14ac:dyDescent="0.3">
      <c r="A63" s="886"/>
      <c r="B63" s="887"/>
      <c r="C63" s="887"/>
      <c r="D63" s="887"/>
      <c r="E63" s="887"/>
      <c r="F63" s="888"/>
      <c r="G63" s="886"/>
      <c r="H63" s="887"/>
      <c r="I63" s="887"/>
      <c r="J63" s="887"/>
      <c r="K63" s="888"/>
    </row>
    <row r="64" spans="1:11" ht="14.25" hidden="1" customHeight="1" x14ac:dyDescent="0.25">
      <c r="A64" s="886"/>
      <c r="B64" s="887"/>
      <c r="C64" s="887"/>
      <c r="D64" s="887"/>
      <c r="E64" s="887"/>
      <c r="F64" s="888"/>
      <c r="G64" s="886"/>
      <c r="H64" s="887"/>
      <c r="I64" s="887"/>
      <c r="J64" s="887"/>
      <c r="K64" s="888"/>
    </row>
    <row r="65" spans="1:11" ht="19.5" hidden="1" customHeight="1" x14ac:dyDescent="0.25">
      <c r="A65" s="886"/>
      <c r="B65" s="887"/>
      <c r="C65" s="887"/>
      <c r="D65" s="887"/>
      <c r="E65" s="887"/>
      <c r="F65" s="888"/>
      <c r="G65" s="886"/>
      <c r="H65" s="887"/>
      <c r="I65" s="887"/>
      <c r="J65" s="887"/>
      <c r="K65" s="888"/>
    </row>
    <row r="66" spans="1:11" ht="15.75" hidden="1" thickBot="1" x14ac:dyDescent="0.3">
      <c r="A66" s="886"/>
      <c r="B66" s="887"/>
      <c r="C66" s="887"/>
      <c r="D66" s="887"/>
      <c r="E66" s="887"/>
      <c r="F66" s="888"/>
      <c r="G66" s="886"/>
      <c r="H66" s="887"/>
      <c r="I66" s="887"/>
      <c r="J66" s="887"/>
      <c r="K66" s="888"/>
    </row>
    <row r="67" spans="1:11" ht="15.75" hidden="1" thickBot="1" x14ac:dyDescent="0.3">
      <c r="A67" s="886"/>
      <c r="B67" s="887"/>
      <c r="C67" s="887"/>
      <c r="D67" s="887"/>
      <c r="E67" s="887"/>
      <c r="F67" s="888"/>
      <c r="G67" s="886"/>
      <c r="H67" s="887"/>
      <c r="I67" s="887"/>
      <c r="J67" s="887"/>
      <c r="K67" s="888"/>
    </row>
    <row r="68" spans="1:11" ht="15.75" hidden="1" thickBot="1" x14ac:dyDescent="0.3">
      <c r="A68" s="1014" t="s">
        <v>611</v>
      </c>
      <c r="B68" s="1015"/>
      <c r="C68" s="1015"/>
      <c r="D68" s="1015"/>
      <c r="E68" s="1015"/>
      <c r="F68" s="1016"/>
      <c r="G68" s="1020" t="s">
        <v>612</v>
      </c>
      <c r="H68" s="1021"/>
      <c r="I68" s="1021"/>
      <c r="J68" s="1021"/>
      <c r="K68" s="1022"/>
    </row>
    <row r="69" spans="1:11" ht="15.75" hidden="1" thickBot="1" x14ac:dyDescent="0.3">
      <c r="A69" s="1017"/>
      <c r="B69" s="1018"/>
      <c r="C69" s="1018"/>
      <c r="D69" s="1018"/>
      <c r="E69" s="1018"/>
      <c r="F69" s="1019"/>
      <c r="G69" s="1023"/>
      <c r="H69" s="1024"/>
      <c r="I69" s="1024"/>
      <c r="J69" s="1024"/>
      <c r="K69" s="1025"/>
    </row>
    <row r="70" spans="1:11" x14ac:dyDescent="0.25">
      <c r="A70" s="901" t="s">
        <v>502</v>
      </c>
      <c r="B70" s="902"/>
      <c r="C70" s="902"/>
      <c r="D70" s="902"/>
      <c r="E70" s="902"/>
      <c r="F70" s="903"/>
      <c r="G70" s="901" t="s">
        <v>503</v>
      </c>
      <c r="H70" s="902"/>
      <c r="I70" s="902"/>
      <c r="J70" s="902"/>
      <c r="K70" s="903"/>
    </row>
    <row r="71" spans="1:11" x14ac:dyDescent="0.25">
      <c r="A71" s="886"/>
      <c r="B71" s="887"/>
      <c r="C71" s="887"/>
      <c r="D71" s="887"/>
      <c r="E71" s="887"/>
      <c r="F71" s="888"/>
      <c r="G71" s="886"/>
      <c r="H71" s="887"/>
      <c r="I71" s="887"/>
      <c r="J71" s="887"/>
      <c r="K71" s="888"/>
    </row>
    <row r="72" spans="1:11" x14ac:dyDescent="0.25">
      <c r="A72" s="886"/>
      <c r="B72" s="887"/>
      <c r="C72" s="887"/>
      <c r="D72" s="887"/>
      <c r="E72" s="887"/>
      <c r="F72" s="888"/>
      <c r="G72" s="886"/>
      <c r="H72" s="887"/>
      <c r="I72" s="887"/>
      <c r="J72" s="887"/>
      <c r="K72" s="888"/>
    </row>
    <row r="73" spans="1:11" x14ac:dyDescent="0.25">
      <c r="A73" s="886"/>
      <c r="B73" s="887"/>
      <c r="C73" s="887"/>
      <c r="D73" s="887"/>
      <c r="E73" s="887"/>
      <c r="F73" s="888"/>
      <c r="G73" s="886"/>
      <c r="H73" s="887"/>
      <c r="I73" s="887"/>
      <c r="J73" s="887"/>
      <c r="K73" s="888"/>
    </row>
    <row r="74" spans="1:11" x14ac:dyDescent="0.25">
      <c r="A74" s="886"/>
      <c r="B74" s="887"/>
      <c r="C74" s="887"/>
      <c r="D74" s="887"/>
      <c r="E74" s="887"/>
      <c r="F74" s="888"/>
      <c r="G74" s="886"/>
      <c r="H74" s="887"/>
      <c r="I74" s="887"/>
      <c r="J74" s="887"/>
      <c r="K74" s="888"/>
    </row>
    <row r="75" spans="1:11" x14ac:dyDescent="0.25">
      <c r="A75" s="886"/>
      <c r="B75" s="887"/>
      <c r="C75" s="887"/>
      <c r="D75" s="887"/>
      <c r="E75" s="887"/>
      <c r="F75" s="888"/>
      <c r="G75" s="886"/>
      <c r="H75" s="887"/>
      <c r="I75" s="887"/>
      <c r="J75" s="887"/>
      <c r="K75" s="888"/>
    </row>
    <row r="76" spans="1:11" x14ac:dyDescent="0.25">
      <c r="A76" s="886"/>
      <c r="B76" s="887"/>
      <c r="C76" s="887"/>
      <c r="D76" s="887"/>
      <c r="E76" s="887"/>
      <c r="F76" s="888"/>
      <c r="G76" s="886"/>
      <c r="H76" s="887"/>
      <c r="I76" s="887"/>
      <c r="J76" s="887"/>
      <c r="K76" s="888"/>
    </row>
    <row r="77" spans="1:11" x14ac:dyDescent="0.25">
      <c r="A77" s="886"/>
      <c r="B77" s="887"/>
      <c r="C77" s="887"/>
      <c r="D77" s="887"/>
      <c r="E77" s="887"/>
      <c r="F77" s="888"/>
      <c r="G77" s="886"/>
      <c r="H77" s="887"/>
      <c r="I77" s="887"/>
      <c r="J77" s="887"/>
      <c r="K77" s="888"/>
    </row>
    <row r="78" spans="1:11" x14ac:dyDescent="0.25">
      <c r="A78" s="886"/>
      <c r="B78" s="887"/>
      <c r="C78" s="887"/>
      <c r="D78" s="887"/>
      <c r="E78" s="887"/>
      <c r="F78" s="888"/>
      <c r="G78" s="886"/>
      <c r="H78" s="887"/>
      <c r="I78" s="887"/>
      <c r="J78" s="887"/>
      <c r="K78" s="888"/>
    </row>
    <row r="79" spans="1:11" x14ac:dyDescent="0.25">
      <c r="A79" s="886"/>
      <c r="B79" s="887"/>
      <c r="C79" s="887"/>
      <c r="D79" s="887"/>
      <c r="E79" s="887"/>
      <c r="F79" s="888"/>
      <c r="G79" s="886"/>
      <c r="H79" s="887"/>
      <c r="I79" s="887"/>
      <c r="J79" s="887"/>
      <c r="K79" s="888"/>
    </row>
    <row r="80" spans="1:11" x14ac:dyDescent="0.25">
      <c r="A80" s="886"/>
      <c r="B80" s="887"/>
      <c r="C80" s="887"/>
      <c r="D80" s="887"/>
      <c r="E80" s="887"/>
      <c r="F80" s="888"/>
      <c r="G80" s="886"/>
      <c r="H80" s="887"/>
      <c r="I80" s="887"/>
      <c r="J80" s="887"/>
      <c r="K80" s="888"/>
    </row>
    <row r="81" spans="1:11" x14ac:dyDescent="0.25">
      <c r="A81" s="886"/>
      <c r="B81" s="887"/>
      <c r="C81" s="887"/>
      <c r="D81" s="887"/>
      <c r="E81" s="887"/>
      <c r="F81" s="888"/>
      <c r="G81" s="886"/>
      <c r="H81" s="887"/>
      <c r="I81" s="887"/>
      <c r="J81" s="887"/>
      <c r="K81" s="888"/>
    </row>
    <row r="82" spans="1:11" x14ac:dyDescent="0.25">
      <c r="A82" s="886"/>
      <c r="B82" s="887"/>
      <c r="C82" s="887"/>
      <c r="D82" s="887"/>
      <c r="E82" s="887"/>
      <c r="F82" s="888"/>
      <c r="G82" s="886"/>
      <c r="H82" s="887"/>
      <c r="I82" s="887"/>
      <c r="J82" s="887"/>
      <c r="K82" s="888"/>
    </row>
    <row r="83" spans="1:11" ht="15.75" thickBot="1" x14ac:dyDescent="0.3">
      <c r="A83" s="886"/>
      <c r="B83" s="887"/>
      <c r="C83" s="887"/>
      <c r="D83" s="887"/>
      <c r="E83" s="887"/>
      <c r="F83" s="888"/>
      <c r="G83" s="886"/>
      <c r="H83" s="887"/>
      <c r="I83" s="887"/>
      <c r="J83" s="887"/>
      <c r="K83" s="888"/>
    </row>
    <row r="84" spans="1:11" x14ac:dyDescent="0.25">
      <c r="A84" s="1014" t="s">
        <v>1259</v>
      </c>
      <c r="B84" s="1015"/>
      <c r="C84" s="1015"/>
      <c r="D84" s="1015"/>
      <c r="E84" s="1015"/>
      <c r="F84" s="1016"/>
      <c r="G84" s="1020" t="s">
        <v>1260</v>
      </c>
      <c r="H84" s="1021"/>
      <c r="I84" s="1021"/>
      <c r="J84" s="1021"/>
      <c r="K84" s="1022"/>
    </row>
    <row r="85" spans="1:11" ht="15.75" thickBot="1" x14ac:dyDescent="0.3">
      <c r="A85" s="1017"/>
      <c r="B85" s="1018"/>
      <c r="C85" s="1018"/>
      <c r="D85" s="1018"/>
      <c r="E85" s="1018"/>
      <c r="F85" s="1019"/>
      <c r="G85" s="1023"/>
      <c r="H85" s="1024"/>
      <c r="I85" s="1024"/>
      <c r="J85" s="1024"/>
      <c r="K85" s="1025"/>
    </row>
    <row r="86" spans="1:11" ht="15.75" hidden="1" thickBot="1" x14ac:dyDescent="0.3">
      <c r="A86" s="901" t="s">
        <v>504</v>
      </c>
      <c r="B86" s="902"/>
      <c r="C86" s="902"/>
      <c r="D86" s="902"/>
      <c r="E86" s="902"/>
      <c r="F86" s="903"/>
      <c r="G86" s="901" t="s">
        <v>505</v>
      </c>
      <c r="H86" s="902"/>
      <c r="I86" s="902"/>
      <c r="J86" s="902"/>
      <c r="K86" s="903"/>
    </row>
    <row r="87" spans="1:11" ht="15.75" hidden="1" thickBot="1" x14ac:dyDescent="0.3">
      <c r="A87" s="886"/>
      <c r="B87" s="887"/>
      <c r="C87" s="887"/>
      <c r="D87" s="887"/>
      <c r="E87" s="887"/>
      <c r="F87" s="888"/>
      <c r="G87" s="886"/>
      <c r="H87" s="887"/>
      <c r="I87" s="887"/>
      <c r="J87" s="887"/>
      <c r="K87" s="888"/>
    </row>
    <row r="88" spans="1:11" ht="15.75" hidden="1" thickBot="1" x14ac:dyDescent="0.3">
      <c r="A88" s="886"/>
      <c r="B88" s="887"/>
      <c r="C88" s="887"/>
      <c r="D88" s="887"/>
      <c r="E88" s="887"/>
      <c r="F88" s="888"/>
      <c r="G88" s="886"/>
      <c r="H88" s="887"/>
      <c r="I88" s="887"/>
      <c r="J88" s="887"/>
      <c r="K88" s="888"/>
    </row>
    <row r="89" spans="1:11" ht="15.75" hidden="1" thickBot="1" x14ac:dyDescent="0.3">
      <c r="A89" s="886"/>
      <c r="B89" s="887"/>
      <c r="C89" s="887"/>
      <c r="D89" s="887"/>
      <c r="E89" s="887"/>
      <c r="F89" s="888"/>
      <c r="G89" s="886"/>
      <c r="H89" s="887"/>
      <c r="I89" s="887"/>
      <c r="J89" s="887"/>
      <c r="K89" s="888"/>
    </row>
    <row r="90" spans="1:11" ht="15.75" hidden="1" thickBot="1" x14ac:dyDescent="0.3">
      <c r="A90" s="886"/>
      <c r="B90" s="887"/>
      <c r="C90" s="887"/>
      <c r="D90" s="887"/>
      <c r="E90" s="887"/>
      <c r="F90" s="888"/>
      <c r="G90" s="886"/>
      <c r="H90" s="887"/>
      <c r="I90" s="887"/>
      <c r="J90" s="887"/>
      <c r="K90" s="888"/>
    </row>
    <row r="91" spans="1:11" ht="15.75" hidden="1" thickBot="1" x14ac:dyDescent="0.3">
      <c r="A91" s="886"/>
      <c r="B91" s="887"/>
      <c r="C91" s="887"/>
      <c r="D91" s="887"/>
      <c r="E91" s="887"/>
      <c r="F91" s="888"/>
      <c r="G91" s="886"/>
      <c r="H91" s="887"/>
      <c r="I91" s="887"/>
      <c r="J91" s="887"/>
      <c r="K91" s="888"/>
    </row>
    <row r="92" spans="1:11" ht="15.75" hidden="1" thickBot="1" x14ac:dyDescent="0.3">
      <c r="A92" s="886"/>
      <c r="B92" s="887"/>
      <c r="C92" s="887"/>
      <c r="D92" s="887"/>
      <c r="E92" s="887"/>
      <c r="F92" s="888"/>
      <c r="G92" s="886"/>
      <c r="H92" s="887"/>
      <c r="I92" s="887"/>
      <c r="J92" s="887"/>
      <c r="K92" s="888"/>
    </row>
    <row r="93" spans="1:11" ht="15.75" hidden="1" thickBot="1" x14ac:dyDescent="0.3">
      <c r="A93" s="886"/>
      <c r="B93" s="887"/>
      <c r="C93" s="887"/>
      <c r="D93" s="887"/>
      <c r="E93" s="887"/>
      <c r="F93" s="888"/>
      <c r="G93" s="886"/>
      <c r="H93" s="887"/>
      <c r="I93" s="887"/>
      <c r="J93" s="887"/>
      <c r="K93" s="888"/>
    </row>
    <row r="94" spans="1:11" ht="15.75" hidden="1" thickBot="1" x14ac:dyDescent="0.3">
      <c r="A94" s="886"/>
      <c r="B94" s="887"/>
      <c r="C94" s="887"/>
      <c r="D94" s="887"/>
      <c r="E94" s="887"/>
      <c r="F94" s="888"/>
      <c r="G94" s="886"/>
      <c r="H94" s="887"/>
      <c r="I94" s="887"/>
      <c r="J94" s="887"/>
      <c r="K94" s="888"/>
    </row>
    <row r="95" spans="1:11" ht="15.75" hidden="1" thickBot="1" x14ac:dyDescent="0.3">
      <c r="A95" s="886"/>
      <c r="B95" s="887"/>
      <c r="C95" s="887"/>
      <c r="D95" s="887"/>
      <c r="E95" s="887"/>
      <c r="F95" s="888"/>
      <c r="G95" s="886"/>
      <c r="H95" s="887"/>
      <c r="I95" s="887"/>
      <c r="J95" s="887"/>
      <c r="K95" s="888"/>
    </row>
    <row r="96" spans="1:11" ht="15.75" hidden="1" thickBot="1" x14ac:dyDescent="0.3">
      <c r="A96" s="886"/>
      <c r="B96" s="887"/>
      <c r="C96" s="887"/>
      <c r="D96" s="887"/>
      <c r="E96" s="887"/>
      <c r="F96" s="888"/>
      <c r="G96" s="886"/>
      <c r="H96" s="887"/>
      <c r="I96" s="887"/>
      <c r="J96" s="887"/>
      <c r="K96" s="888"/>
    </row>
    <row r="97" spans="1:11" ht="15.75" hidden="1" thickBot="1" x14ac:dyDescent="0.3">
      <c r="A97" s="886"/>
      <c r="B97" s="887"/>
      <c r="C97" s="887"/>
      <c r="D97" s="887"/>
      <c r="E97" s="887"/>
      <c r="F97" s="888"/>
      <c r="G97" s="886"/>
      <c r="H97" s="887"/>
      <c r="I97" s="887"/>
      <c r="J97" s="887"/>
      <c r="K97" s="888"/>
    </row>
    <row r="98" spans="1:11" ht="15.75" hidden="1" thickBot="1" x14ac:dyDescent="0.3">
      <c r="A98" s="886"/>
      <c r="B98" s="887"/>
      <c r="C98" s="887"/>
      <c r="D98" s="887"/>
      <c r="E98" s="887"/>
      <c r="F98" s="888"/>
      <c r="G98" s="886"/>
      <c r="H98" s="887"/>
      <c r="I98" s="887"/>
      <c r="J98" s="887"/>
      <c r="K98" s="888"/>
    </row>
    <row r="99" spans="1:11" ht="15.75" hidden="1" thickBot="1" x14ac:dyDescent="0.3">
      <c r="A99" s="886"/>
      <c r="B99" s="887"/>
      <c r="C99" s="887"/>
      <c r="D99" s="887"/>
      <c r="E99" s="887"/>
      <c r="F99" s="888"/>
      <c r="G99" s="886"/>
      <c r="H99" s="887"/>
      <c r="I99" s="887"/>
      <c r="J99" s="887"/>
      <c r="K99" s="888"/>
    </row>
    <row r="100" spans="1:11" ht="15.75" hidden="1" thickBot="1" x14ac:dyDescent="0.3">
      <c r="A100" s="1020" t="s">
        <v>829</v>
      </c>
      <c r="B100" s="1021"/>
      <c r="C100" s="1021"/>
      <c r="D100" s="1021"/>
      <c r="E100" s="1021"/>
      <c r="F100" s="1022"/>
      <c r="G100" s="1020" t="s">
        <v>830</v>
      </c>
      <c r="H100" s="1021"/>
      <c r="I100" s="1021"/>
      <c r="J100" s="1021"/>
      <c r="K100" s="1022"/>
    </row>
    <row r="101" spans="1:11" ht="15.75" hidden="1" thickBot="1" x14ac:dyDescent="0.3">
      <c r="A101" s="1023"/>
      <c r="B101" s="1024"/>
      <c r="C101" s="1024"/>
      <c r="D101" s="1024"/>
      <c r="E101" s="1024"/>
      <c r="F101" s="1025"/>
      <c r="G101" s="1023"/>
      <c r="H101" s="1024"/>
      <c r="I101" s="1024"/>
      <c r="J101" s="1024"/>
      <c r="K101" s="1025"/>
    </row>
    <row r="102" spans="1:11" ht="15.75" hidden="1" thickBot="1" x14ac:dyDescent="0.3">
      <c r="A102" s="886" t="s">
        <v>453</v>
      </c>
      <c r="B102" s="887"/>
      <c r="C102" s="887"/>
      <c r="D102" s="887"/>
      <c r="E102" s="887"/>
      <c r="F102" s="888"/>
      <c r="G102" s="886" t="s">
        <v>454</v>
      </c>
      <c r="H102" s="887"/>
      <c r="I102" s="887"/>
      <c r="J102" s="887"/>
      <c r="K102" s="888"/>
    </row>
    <row r="103" spans="1:11" ht="15.75" hidden="1" thickBot="1" x14ac:dyDescent="0.3">
      <c r="A103" s="886"/>
      <c r="B103" s="887"/>
      <c r="C103" s="887"/>
      <c r="D103" s="887"/>
      <c r="E103" s="887"/>
      <c r="F103" s="888"/>
      <c r="G103" s="886"/>
      <c r="H103" s="887"/>
      <c r="I103" s="887"/>
      <c r="J103" s="887"/>
      <c r="K103" s="888"/>
    </row>
    <row r="104" spans="1:11" ht="15.75" hidden="1" thickBot="1" x14ac:dyDescent="0.3">
      <c r="A104" s="886"/>
      <c r="B104" s="887"/>
      <c r="C104" s="887"/>
      <c r="D104" s="887"/>
      <c r="E104" s="887"/>
      <c r="F104" s="888"/>
      <c r="G104" s="886"/>
      <c r="H104" s="887"/>
      <c r="I104" s="887"/>
      <c r="J104" s="887"/>
      <c r="K104" s="888"/>
    </row>
    <row r="105" spans="1:11" ht="15.75" hidden="1" thickBot="1" x14ac:dyDescent="0.3">
      <c r="A105" s="886"/>
      <c r="B105" s="887"/>
      <c r="C105" s="887"/>
      <c r="D105" s="887"/>
      <c r="E105" s="887"/>
      <c r="F105" s="888"/>
      <c r="G105" s="886"/>
      <c r="H105" s="887"/>
      <c r="I105" s="887"/>
      <c r="J105" s="887"/>
      <c r="K105" s="888"/>
    </row>
    <row r="106" spans="1:11" ht="15.75" hidden="1" thickBot="1" x14ac:dyDescent="0.3">
      <c r="A106" s="886"/>
      <c r="B106" s="887"/>
      <c r="C106" s="887"/>
      <c r="D106" s="887"/>
      <c r="E106" s="887"/>
      <c r="F106" s="888"/>
      <c r="G106" s="886"/>
      <c r="H106" s="887"/>
      <c r="I106" s="887"/>
      <c r="J106" s="887"/>
      <c r="K106" s="888"/>
    </row>
    <row r="107" spans="1:11" ht="15.75" hidden="1" thickBot="1" x14ac:dyDescent="0.3">
      <c r="A107" s="886"/>
      <c r="B107" s="887"/>
      <c r="C107" s="887"/>
      <c r="D107" s="887"/>
      <c r="E107" s="887"/>
      <c r="F107" s="888"/>
      <c r="G107" s="886"/>
      <c r="H107" s="887"/>
      <c r="I107" s="887"/>
      <c r="J107" s="887"/>
      <c r="K107" s="888"/>
    </row>
    <row r="108" spans="1:11" ht="15.75" hidden="1" thickBot="1" x14ac:dyDescent="0.3">
      <c r="A108" s="886"/>
      <c r="B108" s="887"/>
      <c r="C108" s="887"/>
      <c r="D108" s="887"/>
      <c r="E108" s="887"/>
      <c r="F108" s="888"/>
      <c r="G108" s="886"/>
      <c r="H108" s="887"/>
      <c r="I108" s="887"/>
      <c r="J108" s="887"/>
      <c r="K108" s="888"/>
    </row>
    <row r="109" spans="1:11" ht="15.75" hidden="1" thickBot="1" x14ac:dyDescent="0.3">
      <c r="A109" s="886"/>
      <c r="B109" s="887"/>
      <c r="C109" s="887"/>
      <c r="D109" s="887"/>
      <c r="E109" s="887"/>
      <c r="F109" s="888"/>
      <c r="G109" s="886"/>
      <c r="H109" s="887"/>
      <c r="I109" s="887"/>
      <c r="J109" s="887"/>
      <c r="K109" s="888"/>
    </row>
    <row r="110" spans="1:11" ht="15.75" hidden="1" thickBot="1" x14ac:dyDescent="0.3">
      <c r="A110" s="886"/>
      <c r="B110" s="887"/>
      <c r="C110" s="887"/>
      <c r="D110" s="887"/>
      <c r="E110" s="887"/>
      <c r="F110" s="888"/>
      <c r="G110" s="886"/>
      <c r="H110" s="887"/>
      <c r="I110" s="887"/>
      <c r="J110" s="887"/>
      <c r="K110" s="888"/>
    </row>
    <row r="111" spans="1:11" ht="15.75" hidden="1" thickBot="1" x14ac:dyDescent="0.3">
      <c r="A111" s="886"/>
      <c r="B111" s="887"/>
      <c r="C111" s="887"/>
      <c r="D111" s="887"/>
      <c r="E111" s="887"/>
      <c r="F111" s="888"/>
      <c r="G111" s="886"/>
      <c r="H111" s="887"/>
      <c r="I111" s="887"/>
      <c r="J111" s="887"/>
      <c r="K111" s="888"/>
    </row>
    <row r="112" spans="1:11" ht="15.75" hidden="1" thickBot="1" x14ac:dyDescent="0.3">
      <c r="A112" s="886"/>
      <c r="B112" s="887"/>
      <c r="C112" s="887"/>
      <c r="D112" s="887"/>
      <c r="E112" s="887"/>
      <c r="F112" s="888"/>
      <c r="G112" s="886"/>
      <c r="H112" s="887"/>
      <c r="I112" s="887"/>
      <c r="J112" s="887"/>
      <c r="K112" s="888"/>
    </row>
    <row r="113" spans="1:11" ht="15.75" hidden="1" thickBot="1" x14ac:dyDescent="0.3">
      <c r="A113" s="886"/>
      <c r="B113" s="887"/>
      <c r="C113" s="887"/>
      <c r="D113" s="887"/>
      <c r="E113" s="887"/>
      <c r="F113" s="888"/>
      <c r="G113" s="886"/>
      <c r="H113" s="887"/>
      <c r="I113" s="887"/>
      <c r="J113" s="887"/>
      <c r="K113" s="888"/>
    </row>
    <row r="114" spans="1:11" ht="15.75" hidden="1" thickBot="1" x14ac:dyDescent="0.3">
      <c r="A114" s="886"/>
      <c r="B114" s="887"/>
      <c r="C114" s="887"/>
      <c r="D114" s="887"/>
      <c r="E114" s="887"/>
      <c r="F114" s="888"/>
      <c r="G114" s="886"/>
      <c r="H114" s="887"/>
      <c r="I114" s="887"/>
      <c r="J114" s="887"/>
      <c r="K114" s="888"/>
    </row>
    <row r="115" spans="1:11" ht="15.75" hidden="1" thickBot="1" x14ac:dyDescent="0.3">
      <c r="A115" s="886"/>
      <c r="B115" s="887"/>
      <c r="C115" s="887"/>
      <c r="D115" s="887"/>
      <c r="E115" s="887"/>
      <c r="F115" s="888"/>
      <c r="G115" s="886"/>
      <c r="H115" s="887"/>
      <c r="I115" s="887"/>
      <c r="J115" s="887"/>
      <c r="K115" s="888"/>
    </row>
    <row r="116" spans="1:11" ht="15.75" hidden="1" thickBot="1" x14ac:dyDescent="0.3">
      <c r="A116" s="1014" t="s">
        <v>609</v>
      </c>
      <c r="B116" s="1015"/>
      <c r="C116" s="1015"/>
      <c r="D116" s="1015"/>
      <c r="E116" s="1015"/>
      <c r="F116" s="1016"/>
      <c r="G116" s="1020" t="s">
        <v>610</v>
      </c>
      <c r="H116" s="1021"/>
      <c r="I116" s="1021"/>
      <c r="J116" s="1021"/>
      <c r="K116" s="1022"/>
    </row>
    <row r="117" spans="1:11" ht="15.75" hidden="1" thickBot="1" x14ac:dyDescent="0.3">
      <c r="A117" s="1017"/>
      <c r="B117" s="1018"/>
      <c r="C117" s="1018"/>
      <c r="D117" s="1018"/>
      <c r="E117" s="1018"/>
      <c r="F117" s="1019"/>
      <c r="G117" s="1023"/>
      <c r="H117" s="1024"/>
      <c r="I117" s="1024"/>
      <c r="J117" s="1024"/>
      <c r="K117" s="1025"/>
    </row>
    <row r="118" spans="1:11" ht="15.75" hidden="1" thickBot="1" x14ac:dyDescent="0.3">
      <c r="A118" s="886" t="s">
        <v>453</v>
      </c>
      <c r="B118" s="887"/>
      <c r="C118" s="887"/>
      <c r="D118" s="887"/>
      <c r="E118" s="887"/>
      <c r="F118" s="888"/>
      <c r="G118" s="886" t="s">
        <v>454</v>
      </c>
      <c r="H118" s="887"/>
      <c r="I118" s="887"/>
      <c r="J118" s="887"/>
      <c r="K118" s="888"/>
    </row>
    <row r="119" spans="1:11" ht="15.75" hidden="1" thickBot="1" x14ac:dyDescent="0.3">
      <c r="A119" s="886"/>
      <c r="B119" s="887"/>
      <c r="C119" s="887"/>
      <c r="D119" s="887"/>
      <c r="E119" s="887"/>
      <c r="F119" s="888"/>
      <c r="G119" s="886"/>
      <c r="H119" s="887"/>
      <c r="I119" s="887"/>
      <c r="J119" s="887"/>
      <c r="K119" s="888"/>
    </row>
    <row r="120" spans="1:11" ht="15.75" hidden="1" thickBot="1" x14ac:dyDescent="0.3">
      <c r="A120" s="886"/>
      <c r="B120" s="887"/>
      <c r="C120" s="887"/>
      <c r="D120" s="887"/>
      <c r="E120" s="887"/>
      <c r="F120" s="888"/>
      <c r="G120" s="886"/>
      <c r="H120" s="887"/>
      <c r="I120" s="887"/>
      <c r="J120" s="887"/>
      <c r="K120" s="888"/>
    </row>
    <row r="121" spans="1:11" ht="15.75" hidden="1" thickBot="1" x14ac:dyDescent="0.3">
      <c r="A121" s="886"/>
      <c r="B121" s="887"/>
      <c r="C121" s="887"/>
      <c r="D121" s="887"/>
      <c r="E121" s="887"/>
      <c r="F121" s="888"/>
      <c r="G121" s="886"/>
      <c r="H121" s="887"/>
      <c r="I121" s="887"/>
      <c r="J121" s="887"/>
      <c r="K121" s="888"/>
    </row>
    <row r="122" spans="1:11" ht="15.75" hidden="1" thickBot="1" x14ac:dyDescent="0.3">
      <c r="A122" s="886"/>
      <c r="B122" s="887"/>
      <c r="C122" s="887"/>
      <c r="D122" s="887"/>
      <c r="E122" s="887"/>
      <c r="F122" s="888"/>
      <c r="G122" s="886"/>
      <c r="H122" s="887"/>
      <c r="I122" s="887"/>
      <c r="J122" s="887"/>
      <c r="K122" s="888"/>
    </row>
    <row r="123" spans="1:11" ht="15.75" hidden="1" thickBot="1" x14ac:dyDescent="0.3">
      <c r="A123" s="886"/>
      <c r="B123" s="887"/>
      <c r="C123" s="887"/>
      <c r="D123" s="887"/>
      <c r="E123" s="887"/>
      <c r="F123" s="888"/>
      <c r="G123" s="886"/>
      <c r="H123" s="887"/>
      <c r="I123" s="887"/>
      <c r="J123" s="887"/>
      <c r="K123" s="888"/>
    </row>
    <row r="124" spans="1:11" ht="15.75" hidden="1" thickBot="1" x14ac:dyDescent="0.3">
      <c r="A124" s="886"/>
      <c r="B124" s="887"/>
      <c r="C124" s="887"/>
      <c r="D124" s="887"/>
      <c r="E124" s="887"/>
      <c r="F124" s="888"/>
      <c r="G124" s="886"/>
      <c r="H124" s="887"/>
      <c r="I124" s="887"/>
      <c r="J124" s="887"/>
      <c r="K124" s="888"/>
    </row>
    <row r="125" spans="1:11" ht="15.75" hidden="1" thickBot="1" x14ac:dyDescent="0.3">
      <c r="A125" s="886"/>
      <c r="B125" s="887"/>
      <c r="C125" s="887"/>
      <c r="D125" s="887"/>
      <c r="E125" s="887"/>
      <c r="F125" s="888"/>
      <c r="G125" s="886"/>
      <c r="H125" s="887"/>
      <c r="I125" s="887"/>
      <c r="J125" s="887"/>
      <c r="K125" s="888"/>
    </row>
    <row r="126" spans="1:11" ht="15.75" hidden="1" thickBot="1" x14ac:dyDescent="0.3">
      <c r="A126" s="886"/>
      <c r="B126" s="887"/>
      <c r="C126" s="887"/>
      <c r="D126" s="887"/>
      <c r="E126" s="887"/>
      <c r="F126" s="888"/>
      <c r="G126" s="886"/>
      <c r="H126" s="887"/>
      <c r="I126" s="887"/>
      <c r="J126" s="887"/>
      <c r="K126" s="888"/>
    </row>
    <row r="127" spans="1:11" ht="15.75" hidden="1" thickBot="1" x14ac:dyDescent="0.3">
      <c r="A127" s="886"/>
      <c r="B127" s="887"/>
      <c r="C127" s="887"/>
      <c r="D127" s="887"/>
      <c r="E127" s="887"/>
      <c r="F127" s="888"/>
      <c r="G127" s="886"/>
      <c r="H127" s="887"/>
      <c r="I127" s="887"/>
      <c r="J127" s="887"/>
      <c r="K127" s="888"/>
    </row>
    <row r="128" spans="1:11" ht="15.75" hidden="1" thickBot="1" x14ac:dyDescent="0.3">
      <c r="A128" s="886"/>
      <c r="B128" s="887"/>
      <c r="C128" s="887"/>
      <c r="D128" s="887"/>
      <c r="E128" s="887"/>
      <c r="F128" s="888"/>
      <c r="G128" s="886"/>
      <c r="H128" s="887"/>
      <c r="I128" s="887"/>
      <c r="J128" s="887"/>
      <c r="K128" s="888"/>
    </row>
    <row r="129" spans="1:11" ht="15.75" hidden="1" thickBot="1" x14ac:dyDescent="0.3">
      <c r="A129" s="886"/>
      <c r="B129" s="887"/>
      <c r="C129" s="887"/>
      <c r="D129" s="887"/>
      <c r="E129" s="887"/>
      <c r="F129" s="888"/>
      <c r="G129" s="886"/>
      <c r="H129" s="887"/>
      <c r="I129" s="887"/>
      <c r="J129" s="887"/>
      <c r="K129" s="888"/>
    </row>
    <row r="130" spans="1:11" ht="15.75" hidden="1" thickBot="1" x14ac:dyDescent="0.3">
      <c r="A130" s="886"/>
      <c r="B130" s="887"/>
      <c r="C130" s="887"/>
      <c r="D130" s="887"/>
      <c r="E130" s="887"/>
      <c r="F130" s="888"/>
      <c r="G130" s="886"/>
      <c r="H130" s="887"/>
      <c r="I130" s="887"/>
      <c r="J130" s="887"/>
      <c r="K130" s="888"/>
    </row>
    <row r="131" spans="1:11" ht="15.75" hidden="1" thickBot="1" x14ac:dyDescent="0.3">
      <c r="A131" s="886"/>
      <c r="B131" s="887"/>
      <c r="C131" s="887"/>
      <c r="D131" s="887"/>
      <c r="E131" s="887"/>
      <c r="F131" s="888"/>
      <c r="G131" s="886"/>
      <c r="H131" s="887"/>
      <c r="I131" s="887"/>
      <c r="J131" s="887"/>
      <c r="K131" s="888"/>
    </row>
    <row r="132" spans="1:11" ht="15.75" hidden="1" thickBot="1" x14ac:dyDescent="0.3">
      <c r="A132" s="1014" t="s">
        <v>1104</v>
      </c>
      <c r="B132" s="1015"/>
      <c r="C132" s="1015"/>
      <c r="D132" s="1015"/>
      <c r="E132" s="1015"/>
      <c r="F132" s="1016"/>
      <c r="G132" s="1020" t="s">
        <v>1105</v>
      </c>
      <c r="H132" s="1021"/>
      <c r="I132" s="1021"/>
      <c r="J132" s="1021"/>
      <c r="K132" s="1022"/>
    </row>
    <row r="133" spans="1:11" ht="15.75" hidden="1" thickBot="1" x14ac:dyDescent="0.3">
      <c r="A133" s="1017"/>
      <c r="B133" s="1018"/>
      <c r="C133" s="1018"/>
      <c r="D133" s="1018"/>
      <c r="E133" s="1018"/>
      <c r="F133" s="1019"/>
      <c r="G133" s="1023"/>
      <c r="H133" s="1024"/>
      <c r="I133" s="1024"/>
      <c r="J133" s="1024"/>
      <c r="K133" s="1025"/>
    </row>
    <row r="134" spans="1:11" x14ac:dyDescent="0.25">
      <c r="A134" s="901" t="s">
        <v>502</v>
      </c>
      <c r="B134" s="902"/>
      <c r="C134" s="902"/>
      <c r="D134" s="902"/>
      <c r="E134" s="902"/>
      <c r="F134" s="903"/>
      <c r="G134" s="901" t="s">
        <v>503</v>
      </c>
      <c r="H134" s="902"/>
      <c r="I134" s="902"/>
      <c r="J134" s="902"/>
      <c r="K134" s="903"/>
    </row>
    <row r="135" spans="1:11" x14ac:dyDescent="0.25">
      <c r="A135" s="886"/>
      <c r="B135" s="887"/>
      <c r="C135" s="887"/>
      <c r="D135" s="887"/>
      <c r="E135" s="887"/>
      <c r="F135" s="888"/>
      <c r="G135" s="886"/>
      <c r="H135" s="887"/>
      <c r="I135" s="887"/>
      <c r="J135" s="887"/>
      <c r="K135" s="888"/>
    </row>
    <row r="136" spans="1:11" x14ac:dyDescent="0.25">
      <c r="A136" s="886"/>
      <c r="B136" s="887"/>
      <c r="C136" s="887"/>
      <c r="D136" s="887"/>
      <c r="E136" s="887"/>
      <c r="F136" s="888"/>
      <c r="G136" s="886"/>
      <c r="H136" s="887"/>
      <c r="I136" s="887"/>
      <c r="J136" s="887"/>
      <c r="K136" s="888"/>
    </row>
    <row r="137" spans="1:11" x14ac:dyDescent="0.25">
      <c r="A137" s="886"/>
      <c r="B137" s="887"/>
      <c r="C137" s="887"/>
      <c r="D137" s="887"/>
      <c r="E137" s="887"/>
      <c r="F137" s="888"/>
      <c r="G137" s="886"/>
      <c r="H137" s="887"/>
      <c r="I137" s="887"/>
      <c r="J137" s="887"/>
      <c r="K137" s="888"/>
    </row>
    <row r="138" spans="1:11" x14ac:dyDescent="0.25">
      <c r="A138" s="886"/>
      <c r="B138" s="887"/>
      <c r="C138" s="887"/>
      <c r="D138" s="887"/>
      <c r="E138" s="887"/>
      <c r="F138" s="888"/>
      <c r="G138" s="886"/>
      <c r="H138" s="887"/>
      <c r="I138" s="887"/>
      <c r="J138" s="887"/>
      <c r="K138" s="888"/>
    </row>
    <row r="139" spans="1:11" x14ac:dyDescent="0.25">
      <c r="A139" s="886"/>
      <c r="B139" s="887"/>
      <c r="C139" s="887"/>
      <c r="D139" s="887"/>
      <c r="E139" s="887"/>
      <c r="F139" s="888"/>
      <c r="G139" s="886"/>
      <c r="H139" s="887"/>
      <c r="I139" s="887"/>
      <c r="J139" s="887"/>
      <c r="K139" s="888"/>
    </row>
    <row r="140" spans="1:11" x14ac:dyDescent="0.25">
      <c r="A140" s="886"/>
      <c r="B140" s="887"/>
      <c r="C140" s="887"/>
      <c r="D140" s="887"/>
      <c r="E140" s="887"/>
      <c r="F140" s="888"/>
      <c r="G140" s="886"/>
      <c r="H140" s="887"/>
      <c r="I140" s="887"/>
      <c r="J140" s="887"/>
      <c r="K140" s="888"/>
    </row>
    <row r="141" spans="1:11" x14ac:dyDescent="0.25">
      <c r="A141" s="886"/>
      <c r="B141" s="887"/>
      <c r="C141" s="887"/>
      <c r="D141" s="887"/>
      <c r="E141" s="887"/>
      <c r="F141" s="888"/>
      <c r="G141" s="886"/>
      <c r="H141" s="887"/>
      <c r="I141" s="887"/>
      <c r="J141" s="887"/>
      <c r="K141" s="888"/>
    </row>
    <row r="142" spans="1:11" x14ac:dyDescent="0.25">
      <c r="A142" s="886"/>
      <c r="B142" s="887"/>
      <c r="C142" s="887"/>
      <c r="D142" s="887"/>
      <c r="E142" s="887"/>
      <c r="F142" s="888"/>
      <c r="G142" s="886"/>
      <c r="H142" s="887"/>
      <c r="I142" s="887"/>
      <c r="J142" s="887"/>
      <c r="K142" s="888"/>
    </row>
    <row r="143" spans="1:11" x14ac:dyDescent="0.25">
      <c r="A143" s="886"/>
      <c r="B143" s="887"/>
      <c r="C143" s="887"/>
      <c r="D143" s="887"/>
      <c r="E143" s="887"/>
      <c r="F143" s="888"/>
      <c r="G143" s="886"/>
      <c r="H143" s="887"/>
      <c r="I143" s="887"/>
      <c r="J143" s="887"/>
      <c r="K143" s="888"/>
    </row>
    <row r="144" spans="1:11" x14ac:dyDescent="0.25">
      <c r="A144" s="886"/>
      <c r="B144" s="887"/>
      <c r="C144" s="887"/>
      <c r="D144" s="887"/>
      <c r="E144" s="887"/>
      <c r="F144" s="888"/>
      <c r="G144" s="886"/>
      <c r="H144" s="887"/>
      <c r="I144" s="887"/>
      <c r="J144" s="887"/>
      <c r="K144" s="888"/>
    </row>
    <row r="145" spans="1:11" x14ac:dyDescent="0.25">
      <c r="A145" s="886"/>
      <c r="B145" s="887"/>
      <c r="C145" s="887"/>
      <c r="D145" s="887"/>
      <c r="E145" s="887"/>
      <c r="F145" s="888"/>
      <c r="G145" s="886"/>
      <c r="H145" s="887"/>
      <c r="I145" s="887"/>
      <c r="J145" s="887"/>
      <c r="K145" s="888"/>
    </row>
    <row r="146" spans="1:11" x14ac:dyDescent="0.25">
      <c r="A146" s="886"/>
      <c r="B146" s="887"/>
      <c r="C146" s="887"/>
      <c r="D146" s="887"/>
      <c r="E146" s="887"/>
      <c r="F146" s="888"/>
      <c r="G146" s="886"/>
      <c r="H146" s="887"/>
      <c r="I146" s="887"/>
      <c r="J146" s="887"/>
      <c r="K146" s="888"/>
    </row>
    <row r="147" spans="1:11" ht="15.75" thickBot="1" x14ac:dyDescent="0.3">
      <c r="A147" s="886"/>
      <c r="B147" s="887"/>
      <c r="C147" s="887"/>
      <c r="D147" s="887"/>
      <c r="E147" s="887"/>
      <c r="F147" s="888"/>
      <c r="G147" s="886"/>
      <c r="H147" s="887"/>
      <c r="I147" s="887"/>
      <c r="J147" s="887"/>
      <c r="K147" s="888"/>
    </row>
    <row r="148" spans="1:11" x14ac:dyDescent="0.25">
      <c r="A148" s="1014" t="s">
        <v>1261</v>
      </c>
      <c r="B148" s="1015"/>
      <c r="C148" s="1015"/>
      <c r="D148" s="1015"/>
      <c r="E148" s="1015"/>
      <c r="F148" s="1016"/>
      <c r="G148" s="1020" t="s">
        <v>1262</v>
      </c>
      <c r="H148" s="1021"/>
      <c r="I148" s="1021"/>
      <c r="J148" s="1021"/>
      <c r="K148" s="1022"/>
    </row>
    <row r="149" spans="1:11" ht="15.75" thickBot="1" x14ac:dyDescent="0.3">
      <c r="A149" s="1017"/>
      <c r="B149" s="1018"/>
      <c r="C149" s="1018"/>
      <c r="D149" s="1018"/>
      <c r="E149" s="1018"/>
      <c r="F149" s="1019"/>
      <c r="G149" s="1023"/>
      <c r="H149" s="1024"/>
      <c r="I149" s="1024"/>
      <c r="J149" s="1024"/>
      <c r="K149" s="1025"/>
    </row>
    <row r="150" spans="1:11" x14ac:dyDescent="0.25">
      <c r="A150" s="901" t="s">
        <v>504</v>
      </c>
      <c r="B150" s="902"/>
      <c r="C150" s="902"/>
      <c r="D150" s="902"/>
      <c r="E150" s="902"/>
      <c r="F150" s="903"/>
      <c r="G150" s="901"/>
      <c r="H150" s="902"/>
      <c r="I150" s="902"/>
      <c r="J150" s="902"/>
      <c r="K150" s="903"/>
    </row>
    <row r="151" spans="1:11" x14ac:dyDescent="0.25">
      <c r="A151" s="886"/>
      <c r="B151" s="887"/>
      <c r="C151" s="887"/>
      <c r="D151" s="887"/>
      <c r="E151" s="887"/>
      <c r="F151" s="888"/>
      <c r="G151" s="886"/>
      <c r="H151" s="887"/>
      <c r="I151" s="887"/>
      <c r="J151" s="887"/>
      <c r="K151" s="888"/>
    </row>
    <row r="152" spans="1:11" x14ac:dyDescent="0.25">
      <c r="A152" s="886"/>
      <c r="B152" s="887"/>
      <c r="C152" s="887"/>
      <c r="D152" s="887"/>
      <c r="E152" s="887"/>
      <c r="F152" s="888"/>
      <c r="G152" s="886"/>
      <c r="H152" s="887"/>
      <c r="I152" s="887"/>
      <c r="J152" s="887"/>
      <c r="K152" s="888"/>
    </row>
    <row r="153" spans="1:11" x14ac:dyDescent="0.25">
      <c r="A153" s="886"/>
      <c r="B153" s="887"/>
      <c r="C153" s="887"/>
      <c r="D153" s="887"/>
      <c r="E153" s="887"/>
      <c r="F153" s="888"/>
      <c r="G153" s="886"/>
      <c r="H153" s="887"/>
      <c r="I153" s="887"/>
      <c r="J153" s="887"/>
      <c r="K153" s="888"/>
    </row>
    <row r="154" spans="1:11" x14ac:dyDescent="0.25">
      <c r="A154" s="886"/>
      <c r="B154" s="887"/>
      <c r="C154" s="887"/>
      <c r="D154" s="887"/>
      <c r="E154" s="887"/>
      <c r="F154" s="888"/>
      <c r="G154" s="886"/>
      <c r="H154" s="887"/>
      <c r="I154" s="887"/>
      <c r="J154" s="887"/>
      <c r="K154" s="888"/>
    </row>
    <row r="155" spans="1:11" x14ac:dyDescent="0.25">
      <c r="A155" s="886"/>
      <c r="B155" s="887"/>
      <c r="C155" s="887"/>
      <c r="D155" s="887"/>
      <c r="E155" s="887"/>
      <c r="F155" s="888"/>
      <c r="G155" s="886"/>
      <c r="H155" s="887"/>
      <c r="I155" s="887"/>
      <c r="J155" s="887"/>
      <c r="K155" s="888"/>
    </row>
    <row r="156" spans="1:11" x14ac:dyDescent="0.25">
      <c r="A156" s="886"/>
      <c r="B156" s="887"/>
      <c r="C156" s="887"/>
      <c r="D156" s="887"/>
      <c r="E156" s="887"/>
      <c r="F156" s="888"/>
      <c r="G156" s="886"/>
      <c r="H156" s="887"/>
      <c r="I156" s="887"/>
      <c r="J156" s="887"/>
      <c r="K156" s="888"/>
    </row>
    <row r="157" spans="1:11" x14ac:dyDescent="0.25">
      <c r="A157" s="886"/>
      <c r="B157" s="887"/>
      <c r="C157" s="887"/>
      <c r="D157" s="887"/>
      <c r="E157" s="887"/>
      <c r="F157" s="888"/>
      <c r="G157" s="886"/>
      <c r="H157" s="887"/>
      <c r="I157" s="887"/>
      <c r="J157" s="887"/>
      <c r="K157" s="888"/>
    </row>
    <row r="158" spans="1:11" x14ac:dyDescent="0.25">
      <c r="A158" s="886"/>
      <c r="B158" s="887"/>
      <c r="C158" s="887"/>
      <c r="D158" s="887"/>
      <c r="E158" s="887"/>
      <c r="F158" s="888"/>
      <c r="G158" s="886"/>
      <c r="H158" s="887"/>
      <c r="I158" s="887"/>
      <c r="J158" s="887"/>
      <c r="K158" s="888"/>
    </row>
    <row r="159" spans="1:11" x14ac:dyDescent="0.25">
      <c r="A159" s="886"/>
      <c r="B159" s="887"/>
      <c r="C159" s="887"/>
      <c r="D159" s="887"/>
      <c r="E159" s="887"/>
      <c r="F159" s="888"/>
      <c r="G159" s="886"/>
      <c r="H159" s="887"/>
      <c r="I159" s="887"/>
      <c r="J159" s="887"/>
      <c r="K159" s="888"/>
    </row>
    <row r="160" spans="1:11" x14ac:dyDescent="0.25">
      <c r="A160" s="886"/>
      <c r="B160" s="887"/>
      <c r="C160" s="887"/>
      <c r="D160" s="887"/>
      <c r="E160" s="887"/>
      <c r="F160" s="888"/>
      <c r="G160" s="886"/>
      <c r="H160" s="887"/>
      <c r="I160" s="887"/>
      <c r="J160" s="887"/>
      <c r="K160" s="888"/>
    </row>
    <row r="161" spans="1:11" x14ac:dyDescent="0.25">
      <c r="A161" s="886"/>
      <c r="B161" s="887"/>
      <c r="C161" s="887"/>
      <c r="D161" s="887"/>
      <c r="E161" s="887"/>
      <c r="F161" s="888"/>
      <c r="G161" s="886"/>
      <c r="H161" s="887"/>
      <c r="I161" s="887"/>
      <c r="J161" s="887"/>
      <c r="K161" s="888"/>
    </row>
    <row r="162" spans="1:11" x14ac:dyDescent="0.25">
      <c r="A162" s="886"/>
      <c r="B162" s="887"/>
      <c r="C162" s="887"/>
      <c r="D162" s="887"/>
      <c r="E162" s="887"/>
      <c r="F162" s="888"/>
      <c r="G162" s="886"/>
      <c r="H162" s="887"/>
      <c r="I162" s="887"/>
      <c r="J162" s="887"/>
      <c r="K162" s="888"/>
    </row>
    <row r="163" spans="1:11" ht="15.75" thickBot="1" x14ac:dyDescent="0.3">
      <c r="A163" s="886"/>
      <c r="B163" s="887"/>
      <c r="C163" s="887"/>
      <c r="D163" s="887"/>
      <c r="E163" s="887"/>
      <c r="F163" s="888"/>
      <c r="G163" s="886"/>
      <c r="H163" s="887"/>
      <c r="I163" s="887"/>
      <c r="J163" s="887"/>
      <c r="K163" s="888"/>
    </row>
    <row r="164" spans="1:11" x14ac:dyDescent="0.25">
      <c r="A164" s="1020" t="s">
        <v>1263</v>
      </c>
      <c r="B164" s="1021"/>
      <c r="C164" s="1021"/>
      <c r="D164" s="1021"/>
      <c r="E164" s="1021"/>
      <c r="F164" s="1022"/>
      <c r="G164" s="1020" t="s">
        <v>1264</v>
      </c>
      <c r="H164" s="1021"/>
      <c r="I164" s="1021"/>
      <c r="J164" s="1021"/>
      <c r="K164" s="1022"/>
    </row>
    <row r="165" spans="1:11" ht="15.75" thickBot="1" x14ac:dyDescent="0.3">
      <c r="A165" s="1023"/>
      <c r="B165" s="1024"/>
      <c r="C165" s="1024"/>
      <c r="D165" s="1024"/>
      <c r="E165" s="1024"/>
      <c r="F165" s="1025"/>
      <c r="G165" s="1023"/>
      <c r="H165" s="1024"/>
      <c r="I165" s="1024"/>
      <c r="J165" s="1024"/>
      <c r="K165" s="1025"/>
    </row>
    <row r="166" spans="1:11" ht="0.75" customHeight="1" thickBot="1" x14ac:dyDescent="0.3">
      <c r="A166" s="1017"/>
      <c r="B166" s="1018"/>
      <c r="C166" s="1018"/>
      <c r="D166" s="1018"/>
      <c r="E166" s="1018"/>
      <c r="F166" s="1019"/>
      <c r="G166" s="1023"/>
      <c r="H166" s="1024"/>
      <c r="I166" s="1024"/>
      <c r="J166" s="1024"/>
      <c r="K166" s="1025"/>
    </row>
    <row r="167" spans="1:11" x14ac:dyDescent="0.25">
      <c r="A167" s="901" t="s">
        <v>502</v>
      </c>
      <c r="B167" s="902"/>
      <c r="C167" s="902"/>
      <c r="D167" s="902"/>
      <c r="E167" s="902"/>
      <c r="F167" s="903"/>
      <c r="G167" s="901" t="s">
        <v>503</v>
      </c>
      <c r="H167" s="902"/>
      <c r="I167" s="902"/>
      <c r="J167" s="902"/>
      <c r="K167" s="903"/>
    </row>
    <row r="168" spans="1:11" x14ac:dyDescent="0.25">
      <c r="A168" s="886"/>
      <c r="B168" s="887"/>
      <c r="C168" s="887"/>
      <c r="D168" s="887"/>
      <c r="E168" s="887"/>
      <c r="F168" s="888"/>
      <c r="G168" s="886"/>
      <c r="H168" s="887"/>
      <c r="I168" s="887"/>
      <c r="J168" s="887"/>
      <c r="K168" s="888"/>
    </row>
    <row r="169" spans="1:11" x14ac:dyDescent="0.25">
      <c r="A169" s="886"/>
      <c r="B169" s="887"/>
      <c r="C169" s="887"/>
      <c r="D169" s="887"/>
      <c r="E169" s="887"/>
      <c r="F169" s="888"/>
      <c r="G169" s="886"/>
      <c r="H169" s="887"/>
      <c r="I169" s="887"/>
      <c r="J169" s="887"/>
      <c r="K169" s="888"/>
    </row>
    <row r="170" spans="1:11" x14ac:dyDescent="0.25">
      <c r="A170" s="886"/>
      <c r="B170" s="887"/>
      <c r="C170" s="887"/>
      <c r="D170" s="887"/>
      <c r="E170" s="887"/>
      <c r="F170" s="888"/>
      <c r="G170" s="886"/>
      <c r="H170" s="887"/>
      <c r="I170" s="887"/>
      <c r="J170" s="887"/>
      <c r="K170" s="888"/>
    </row>
    <row r="171" spans="1:11" x14ac:dyDescent="0.25">
      <c r="A171" s="886"/>
      <c r="B171" s="887"/>
      <c r="C171" s="887"/>
      <c r="D171" s="887"/>
      <c r="E171" s="887"/>
      <c r="F171" s="888"/>
      <c r="G171" s="886"/>
      <c r="H171" s="887"/>
      <c r="I171" s="887"/>
      <c r="J171" s="887"/>
      <c r="K171" s="888"/>
    </row>
    <row r="172" spans="1:11" x14ac:dyDescent="0.25">
      <c r="A172" s="886"/>
      <c r="B172" s="887"/>
      <c r="C172" s="887"/>
      <c r="D172" s="887"/>
      <c r="E172" s="887"/>
      <c r="F172" s="888"/>
      <c r="G172" s="886"/>
      <c r="H172" s="887"/>
      <c r="I172" s="887"/>
      <c r="J172" s="887"/>
      <c r="K172" s="888"/>
    </row>
    <row r="173" spans="1:11" x14ac:dyDescent="0.25">
      <c r="A173" s="886"/>
      <c r="B173" s="887"/>
      <c r="C173" s="887"/>
      <c r="D173" s="887"/>
      <c r="E173" s="887"/>
      <c r="F173" s="888"/>
      <c r="G173" s="886"/>
      <c r="H173" s="887"/>
      <c r="I173" s="887"/>
      <c r="J173" s="887"/>
      <c r="K173" s="888"/>
    </row>
    <row r="174" spans="1:11" x14ac:dyDescent="0.25">
      <c r="A174" s="886"/>
      <c r="B174" s="887"/>
      <c r="C174" s="887"/>
      <c r="D174" s="887"/>
      <c r="E174" s="887"/>
      <c r="F174" s="888"/>
      <c r="G174" s="886"/>
      <c r="H174" s="887"/>
      <c r="I174" s="887"/>
      <c r="J174" s="887"/>
      <c r="K174" s="888"/>
    </row>
    <row r="175" spans="1:11" x14ac:dyDescent="0.25">
      <c r="A175" s="886"/>
      <c r="B175" s="887"/>
      <c r="C175" s="887"/>
      <c r="D175" s="887"/>
      <c r="E175" s="887"/>
      <c r="F175" s="888"/>
      <c r="G175" s="886"/>
      <c r="H175" s="887"/>
      <c r="I175" s="887"/>
      <c r="J175" s="887"/>
      <c r="K175" s="888"/>
    </row>
    <row r="176" spans="1:11" x14ac:dyDescent="0.25">
      <c r="A176" s="886"/>
      <c r="B176" s="887"/>
      <c r="C176" s="887"/>
      <c r="D176" s="887"/>
      <c r="E176" s="887"/>
      <c r="F176" s="888"/>
      <c r="G176" s="886"/>
      <c r="H176" s="887"/>
      <c r="I176" s="887"/>
      <c r="J176" s="887"/>
      <c r="K176" s="888"/>
    </row>
    <row r="177" spans="1:11" x14ac:dyDescent="0.25">
      <c r="A177" s="886"/>
      <c r="B177" s="887"/>
      <c r="C177" s="887"/>
      <c r="D177" s="887"/>
      <c r="E177" s="887"/>
      <c r="F177" s="888"/>
      <c r="G177" s="886"/>
      <c r="H177" s="887"/>
      <c r="I177" s="887"/>
      <c r="J177" s="887"/>
      <c r="K177" s="888"/>
    </row>
    <row r="178" spans="1:11" x14ac:dyDescent="0.25">
      <c r="A178" s="886"/>
      <c r="B178" s="887"/>
      <c r="C178" s="887"/>
      <c r="D178" s="887"/>
      <c r="E178" s="887"/>
      <c r="F178" s="888"/>
      <c r="G178" s="886"/>
      <c r="H178" s="887"/>
      <c r="I178" s="887"/>
      <c r="J178" s="887"/>
      <c r="K178" s="888"/>
    </row>
    <row r="179" spans="1:11" x14ac:dyDescent="0.25">
      <c r="A179" s="886"/>
      <c r="B179" s="887"/>
      <c r="C179" s="887"/>
      <c r="D179" s="887"/>
      <c r="E179" s="887"/>
      <c r="F179" s="888"/>
      <c r="G179" s="886"/>
      <c r="H179" s="887"/>
      <c r="I179" s="887"/>
      <c r="J179" s="887"/>
      <c r="K179" s="888"/>
    </row>
    <row r="180" spans="1:11" ht="15.75" thickBot="1" x14ac:dyDescent="0.3">
      <c r="A180" s="886"/>
      <c r="B180" s="887"/>
      <c r="C180" s="887"/>
      <c r="D180" s="887"/>
      <c r="E180" s="887"/>
      <c r="F180" s="888"/>
      <c r="G180" s="886"/>
      <c r="H180" s="887"/>
      <c r="I180" s="887"/>
      <c r="J180" s="887"/>
      <c r="K180" s="888"/>
    </row>
    <row r="181" spans="1:11" x14ac:dyDescent="0.25">
      <c r="A181" s="1014" t="s">
        <v>1106</v>
      </c>
      <c r="B181" s="1015"/>
      <c r="C181" s="1015"/>
      <c r="D181" s="1015"/>
      <c r="E181" s="1015"/>
      <c r="F181" s="1016"/>
      <c r="G181" s="1020" t="s">
        <v>1141</v>
      </c>
      <c r="H181" s="1021"/>
      <c r="I181" s="1021"/>
      <c r="J181" s="1021"/>
      <c r="K181" s="1022"/>
    </row>
    <row r="182" spans="1:11" ht="15.75" thickBot="1" x14ac:dyDescent="0.3">
      <c r="A182" s="1017"/>
      <c r="B182" s="1018"/>
      <c r="C182" s="1018"/>
      <c r="D182" s="1018"/>
      <c r="E182" s="1018"/>
      <c r="F182" s="1019"/>
      <c r="G182" s="1023"/>
      <c r="H182" s="1024"/>
      <c r="I182" s="1024"/>
      <c r="J182" s="1024"/>
      <c r="K182" s="1025"/>
    </row>
    <row r="183" spans="1:11" ht="15" customHeight="1" x14ac:dyDescent="0.25">
      <c r="A183" s="901" t="s">
        <v>502</v>
      </c>
      <c r="B183" s="902"/>
      <c r="C183" s="902"/>
      <c r="D183" s="902"/>
      <c r="E183" s="902"/>
      <c r="F183" s="903"/>
      <c r="G183" s="901" t="s">
        <v>503</v>
      </c>
      <c r="H183" s="902"/>
      <c r="I183" s="902"/>
      <c r="J183" s="902"/>
      <c r="K183" s="903"/>
    </row>
    <row r="184" spans="1:11" ht="15" customHeight="1" x14ac:dyDescent="0.25">
      <c r="A184" s="886"/>
      <c r="B184" s="887"/>
      <c r="C184" s="887"/>
      <c r="D184" s="887"/>
      <c r="E184" s="887"/>
      <c r="F184" s="888"/>
      <c r="G184" s="886"/>
      <c r="H184" s="887"/>
      <c r="I184" s="887"/>
      <c r="J184" s="887"/>
      <c r="K184" s="888"/>
    </row>
    <row r="185" spans="1:11" ht="15" customHeight="1" x14ac:dyDescent="0.25">
      <c r="A185" s="886"/>
      <c r="B185" s="887"/>
      <c r="C185" s="887"/>
      <c r="D185" s="887"/>
      <c r="E185" s="887"/>
      <c r="F185" s="888"/>
      <c r="G185" s="886"/>
      <c r="H185" s="887"/>
      <c r="I185" s="887"/>
      <c r="J185" s="887"/>
      <c r="K185" s="888"/>
    </row>
    <row r="186" spans="1:11" ht="15" customHeight="1" x14ac:dyDescent="0.25">
      <c r="A186" s="886"/>
      <c r="B186" s="887"/>
      <c r="C186" s="887"/>
      <c r="D186" s="887"/>
      <c r="E186" s="887"/>
      <c r="F186" s="888"/>
      <c r="G186" s="886"/>
      <c r="H186" s="887"/>
      <c r="I186" s="887"/>
      <c r="J186" s="887"/>
      <c r="K186" s="888"/>
    </row>
    <row r="187" spans="1:11" ht="15" customHeight="1" x14ac:dyDescent="0.25">
      <c r="A187" s="886"/>
      <c r="B187" s="887"/>
      <c r="C187" s="887"/>
      <c r="D187" s="887"/>
      <c r="E187" s="887"/>
      <c r="F187" s="888"/>
      <c r="G187" s="886"/>
      <c r="H187" s="887"/>
      <c r="I187" s="887"/>
      <c r="J187" s="887"/>
      <c r="K187" s="888"/>
    </row>
    <row r="188" spans="1:11" ht="15" customHeight="1" x14ac:dyDescent="0.25">
      <c r="A188" s="886"/>
      <c r="B188" s="887"/>
      <c r="C188" s="887"/>
      <c r="D188" s="887"/>
      <c r="E188" s="887"/>
      <c r="F188" s="888"/>
      <c r="G188" s="886"/>
      <c r="H188" s="887"/>
      <c r="I188" s="887"/>
      <c r="J188" s="887"/>
      <c r="K188" s="888"/>
    </row>
    <row r="189" spans="1:11" ht="15" customHeight="1" x14ac:dyDescent="0.25">
      <c r="A189" s="886"/>
      <c r="B189" s="887"/>
      <c r="C189" s="887"/>
      <c r="D189" s="887"/>
      <c r="E189" s="887"/>
      <c r="F189" s="888"/>
      <c r="G189" s="886"/>
      <c r="H189" s="887"/>
      <c r="I189" s="887"/>
      <c r="J189" s="887"/>
      <c r="K189" s="888"/>
    </row>
    <row r="190" spans="1:11" ht="15" customHeight="1" x14ac:dyDescent="0.25">
      <c r="A190" s="886"/>
      <c r="B190" s="887"/>
      <c r="C190" s="887"/>
      <c r="D190" s="887"/>
      <c r="E190" s="887"/>
      <c r="F190" s="888"/>
      <c r="G190" s="886"/>
      <c r="H190" s="887"/>
      <c r="I190" s="887"/>
      <c r="J190" s="887"/>
      <c r="K190" s="888"/>
    </row>
    <row r="191" spans="1:11" ht="15" customHeight="1" x14ac:dyDescent="0.25">
      <c r="A191" s="886"/>
      <c r="B191" s="887"/>
      <c r="C191" s="887"/>
      <c r="D191" s="887"/>
      <c r="E191" s="887"/>
      <c r="F191" s="888"/>
      <c r="G191" s="886"/>
      <c r="H191" s="887"/>
      <c r="I191" s="887"/>
      <c r="J191" s="887"/>
      <c r="K191" s="888"/>
    </row>
    <row r="192" spans="1:11" ht="15" customHeight="1" x14ac:dyDescent="0.25">
      <c r="A192" s="886"/>
      <c r="B192" s="887"/>
      <c r="C192" s="887"/>
      <c r="D192" s="887"/>
      <c r="E192" s="887"/>
      <c r="F192" s="888"/>
      <c r="G192" s="886"/>
      <c r="H192" s="887"/>
      <c r="I192" s="887"/>
      <c r="J192" s="887"/>
      <c r="K192" s="888"/>
    </row>
    <row r="193" spans="1:11" ht="15" customHeight="1" x14ac:dyDescent="0.25">
      <c r="A193" s="886"/>
      <c r="B193" s="887"/>
      <c r="C193" s="887"/>
      <c r="D193" s="887"/>
      <c r="E193" s="887"/>
      <c r="F193" s="888"/>
      <c r="G193" s="886"/>
      <c r="H193" s="887"/>
      <c r="I193" s="887"/>
      <c r="J193" s="887"/>
      <c r="K193" s="888"/>
    </row>
    <row r="194" spans="1:11" ht="15" customHeight="1" x14ac:dyDescent="0.25">
      <c r="A194" s="886"/>
      <c r="B194" s="887"/>
      <c r="C194" s="887"/>
      <c r="D194" s="887"/>
      <c r="E194" s="887"/>
      <c r="F194" s="888"/>
      <c r="G194" s="886"/>
      <c r="H194" s="887"/>
      <c r="I194" s="887"/>
      <c r="J194" s="887"/>
      <c r="K194" s="888"/>
    </row>
    <row r="195" spans="1:11" ht="15" customHeight="1" x14ac:dyDescent="0.25">
      <c r="A195" s="886"/>
      <c r="B195" s="887"/>
      <c r="C195" s="887"/>
      <c r="D195" s="887"/>
      <c r="E195" s="887"/>
      <c r="F195" s="888"/>
      <c r="G195" s="886"/>
      <c r="H195" s="887"/>
      <c r="I195" s="887"/>
      <c r="J195" s="887"/>
      <c r="K195" s="888"/>
    </row>
    <row r="196" spans="1:11" ht="15" customHeight="1" thickBot="1" x14ac:dyDescent="0.3">
      <c r="A196" s="886"/>
      <c r="B196" s="887"/>
      <c r="C196" s="887"/>
      <c r="D196" s="887"/>
      <c r="E196" s="887"/>
      <c r="F196" s="888"/>
      <c r="G196" s="886"/>
      <c r="H196" s="887"/>
      <c r="I196" s="887"/>
      <c r="J196" s="887"/>
      <c r="K196" s="888"/>
    </row>
    <row r="197" spans="1:11" ht="15" customHeight="1" x14ac:dyDescent="0.25">
      <c r="A197" s="1014" t="s">
        <v>1265</v>
      </c>
      <c r="B197" s="1015"/>
      <c r="C197" s="1015"/>
      <c r="D197" s="1015"/>
      <c r="E197" s="1015"/>
      <c r="F197" s="1016"/>
      <c r="G197" s="1020" t="s">
        <v>1266</v>
      </c>
      <c r="H197" s="1021"/>
      <c r="I197" s="1021"/>
      <c r="J197" s="1021"/>
      <c r="K197" s="1022"/>
    </row>
    <row r="198" spans="1:11" ht="15" customHeight="1" thickBot="1" x14ac:dyDescent="0.3">
      <c r="A198" s="1017"/>
      <c r="B198" s="1018"/>
      <c r="C198" s="1018"/>
      <c r="D198" s="1018"/>
      <c r="E198" s="1018"/>
      <c r="F198" s="1019"/>
      <c r="G198" s="1023"/>
      <c r="H198" s="1024"/>
      <c r="I198" s="1024"/>
      <c r="J198" s="1024"/>
      <c r="K198" s="1025"/>
    </row>
    <row r="199" spans="1:11" ht="15" customHeight="1" x14ac:dyDescent="0.25">
      <c r="A199" s="901" t="s">
        <v>502</v>
      </c>
      <c r="B199" s="902"/>
      <c r="C199" s="902"/>
      <c r="D199" s="902"/>
      <c r="E199" s="902"/>
      <c r="F199" s="903"/>
      <c r="G199" s="901" t="s">
        <v>503</v>
      </c>
      <c r="H199" s="902"/>
      <c r="I199" s="902"/>
      <c r="J199" s="902"/>
      <c r="K199" s="903"/>
    </row>
    <row r="200" spans="1:11" ht="15" customHeight="1" x14ac:dyDescent="0.25">
      <c r="A200" s="886"/>
      <c r="B200" s="887"/>
      <c r="C200" s="887"/>
      <c r="D200" s="887"/>
      <c r="E200" s="887"/>
      <c r="F200" s="888"/>
      <c r="G200" s="886"/>
      <c r="H200" s="887"/>
      <c r="I200" s="887"/>
      <c r="J200" s="887"/>
      <c r="K200" s="888"/>
    </row>
    <row r="201" spans="1:11" ht="15" customHeight="1" x14ac:dyDescent="0.25">
      <c r="A201" s="886"/>
      <c r="B201" s="887"/>
      <c r="C201" s="887"/>
      <c r="D201" s="887"/>
      <c r="E201" s="887"/>
      <c r="F201" s="888"/>
      <c r="G201" s="886"/>
      <c r="H201" s="887"/>
      <c r="I201" s="887"/>
      <c r="J201" s="887"/>
      <c r="K201" s="888"/>
    </row>
    <row r="202" spans="1:11" ht="15" customHeight="1" x14ac:dyDescent="0.25">
      <c r="A202" s="886"/>
      <c r="B202" s="887"/>
      <c r="C202" s="887"/>
      <c r="D202" s="887"/>
      <c r="E202" s="887"/>
      <c r="F202" s="888"/>
      <c r="G202" s="886"/>
      <c r="H202" s="887"/>
      <c r="I202" s="887"/>
      <c r="J202" s="887"/>
      <c r="K202" s="888"/>
    </row>
    <row r="203" spans="1:11" ht="15" customHeight="1" x14ac:dyDescent="0.25">
      <c r="A203" s="886"/>
      <c r="B203" s="887"/>
      <c r="C203" s="887"/>
      <c r="D203" s="887"/>
      <c r="E203" s="887"/>
      <c r="F203" s="888"/>
      <c r="G203" s="886"/>
      <c r="H203" s="887"/>
      <c r="I203" s="887"/>
      <c r="J203" s="887"/>
      <c r="K203" s="888"/>
    </row>
    <row r="204" spans="1:11" ht="15" customHeight="1" x14ac:dyDescent="0.25">
      <c r="A204" s="886"/>
      <c r="B204" s="887"/>
      <c r="C204" s="887"/>
      <c r="D204" s="887"/>
      <c r="E204" s="887"/>
      <c r="F204" s="888"/>
      <c r="G204" s="886"/>
      <c r="H204" s="887"/>
      <c r="I204" s="887"/>
      <c r="J204" s="887"/>
      <c r="K204" s="888"/>
    </row>
    <row r="205" spans="1:11" ht="15" customHeight="1" x14ac:dyDescent="0.25">
      <c r="A205" s="886"/>
      <c r="B205" s="887"/>
      <c r="C205" s="887"/>
      <c r="D205" s="887"/>
      <c r="E205" s="887"/>
      <c r="F205" s="888"/>
      <c r="G205" s="886"/>
      <c r="H205" s="887"/>
      <c r="I205" s="887"/>
      <c r="J205" s="887"/>
      <c r="K205" s="888"/>
    </row>
    <row r="206" spans="1:11" ht="15" customHeight="1" x14ac:dyDescent="0.25">
      <c r="A206" s="886"/>
      <c r="B206" s="887"/>
      <c r="C206" s="887"/>
      <c r="D206" s="887"/>
      <c r="E206" s="887"/>
      <c r="F206" s="888"/>
      <c r="G206" s="886"/>
      <c r="H206" s="887"/>
      <c r="I206" s="887"/>
      <c r="J206" s="887"/>
      <c r="K206" s="888"/>
    </row>
    <row r="207" spans="1:11" ht="15" customHeight="1" x14ac:dyDescent="0.25">
      <c r="A207" s="886"/>
      <c r="B207" s="887"/>
      <c r="C207" s="887"/>
      <c r="D207" s="887"/>
      <c r="E207" s="887"/>
      <c r="F207" s="888"/>
      <c r="G207" s="886"/>
      <c r="H207" s="887"/>
      <c r="I207" s="887"/>
      <c r="J207" s="887"/>
      <c r="K207" s="888"/>
    </row>
    <row r="208" spans="1:11" ht="15" customHeight="1" x14ac:dyDescent="0.25">
      <c r="A208" s="886"/>
      <c r="B208" s="887"/>
      <c r="C208" s="887"/>
      <c r="D208" s="887"/>
      <c r="E208" s="887"/>
      <c r="F208" s="888"/>
      <c r="G208" s="886"/>
      <c r="H208" s="887"/>
      <c r="I208" s="887"/>
      <c r="J208" s="887"/>
      <c r="K208" s="888"/>
    </row>
    <row r="209" spans="1:11" ht="15" customHeight="1" x14ac:dyDescent="0.25">
      <c r="A209" s="886"/>
      <c r="B209" s="887"/>
      <c r="C209" s="887"/>
      <c r="D209" s="887"/>
      <c r="E209" s="887"/>
      <c r="F209" s="888"/>
      <c r="G209" s="886"/>
      <c r="H209" s="887"/>
      <c r="I209" s="887"/>
      <c r="J209" s="887"/>
      <c r="K209" s="888"/>
    </row>
    <row r="210" spans="1:11" ht="15" customHeight="1" x14ac:dyDescent="0.25">
      <c r="A210" s="886"/>
      <c r="B210" s="887"/>
      <c r="C210" s="887"/>
      <c r="D210" s="887"/>
      <c r="E210" s="887"/>
      <c r="F210" s="888"/>
      <c r="G210" s="886"/>
      <c r="H210" s="887"/>
      <c r="I210" s="887"/>
      <c r="J210" s="887"/>
      <c r="K210" s="888"/>
    </row>
    <row r="211" spans="1:11" ht="15" customHeight="1" x14ac:dyDescent="0.25">
      <c r="A211" s="886"/>
      <c r="B211" s="887"/>
      <c r="C211" s="887"/>
      <c r="D211" s="887"/>
      <c r="E211" s="887"/>
      <c r="F211" s="888"/>
      <c r="G211" s="886"/>
      <c r="H211" s="887"/>
      <c r="I211" s="887"/>
      <c r="J211" s="887"/>
      <c r="K211" s="888"/>
    </row>
    <row r="212" spans="1:11" ht="15" customHeight="1" thickBot="1" x14ac:dyDescent="0.3">
      <c r="A212" s="886"/>
      <c r="B212" s="887"/>
      <c r="C212" s="887"/>
      <c r="D212" s="887"/>
      <c r="E212" s="887"/>
      <c r="F212" s="888"/>
      <c r="G212" s="886"/>
      <c r="H212" s="887"/>
      <c r="I212" s="887"/>
      <c r="J212" s="887"/>
      <c r="K212" s="888"/>
    </row>
    <row r="213" spans="1:11" ht="15" customHeight="1" x14ac:dyDescent="0.25">
      <c r="A213" s="1014" t="s">
        <v>1267</v>
      </c>
      <c r="B213" s="1015"/>
      <c r="C213" s="1015"/>
      <c r="D213" s="1015"/>
      <c r="E213" s="1015"/>
      <c r="F213" s="1016"/>
      <c r="G213" s="1020" t="s">
        <v>1268</v>
      </c>
      <c r="H213" s="1021"/>
      <c r="I213" s="1021"/>
      <c r="J213" s="1021"/>
      <c r="K213" s="1022"/>
    </row>
    <row r="214" spans="1:11" ht="15" customHeight="1" thickBot="1" x14ac:dyDescent="0.3">
      <c r="A214" s="1017"/>
      <c r="B214" s="1018"/>
      <c r="C214" s="1018"/>
      <c r="D214" s="1018"/>
      <c r="E214" s="1018"/>
      <c r="F214" s="1019"/>
      <c r="G214" s="1023"/>
      <c r="H214" s="1024"/>
      <c r="I214" s="1024"/>
      <c r="J214" s="1024"/>
      <c r="K214" s="1025"/>
    </row>
    <row r="215" spans="1:11" hidden="1" x14ac:dyDescent="0.25">
      <c r="A215" s="901" t="s">
        <v>504</v>
      </c>
      <c r="B215" s="902"/>
      <c r="C215" s="902"/>
      <c r="D215" s="902"/>
      <c r="E215" s="902"/>
      <c r="F215" s="903"/>
      <c r="G215" s="901" t="s">
        <v>505</v>
      </c>
      <c r="H215" s="902"/>
      <c r="I215" s="902"/>
      <c r="J215" s="902"/>
      <c r="K215" s="903"/>
    </row>
    <row r="216" spans="1:11" hidden="1" x14ac:dyDescent="0.25">
      <c r="A216" s="886"/>
      <c r="B216" s="887"/>
      <c r="C216" s="887"/>
      <c r="D216" s="887"/>
      <c r="E216" s="887"/>
      <c r="F216" s="888"/>
      <c r="G216" s="886"/>
      <c r="H216" s="887"/>
      <c r="I216" s="887"/>
      <c r="J216" s="887"/>
      <c r="K216" s="888"/>
    </row>
    <row r="217" spans="1:11" hidden="1" x14ac:dyDescent="0.25">
      <c r="A217" s="886"/>
      <c r="B217" s="887"/>
      <c r="C217" s="887"/>
      <c r="D217" s="887"/>
      <c r="E217" s="887"/>
      <c r="F217" s="888"/>
      <c r="G217" s="886"/>
      <c r="H217" s="887"/>
      <c r="I217" s="887"/>
      <c r="J217" s="887"/>
      <c r="K217" s="888"/>
    </row>
    <row r="218" spans="1:11" hidden="1" x14ac:dyDescent="0.25">
      <c r="A218" s="886"/>
      <c r="B218" s="887"/>
      <c r="C218" s="887"/>
      <c r="D218" s="887"/>
      <c r="E218" s="887"/>
      <c r="F218" s="888"/>
      <c r="G218" s="886"/>
      <c r="H218" s="887"/>
      <c r="I218" s="887"/>
      <c r="J218" s="887"/>
      <c r="K218" s="888"/>
    </row>
    <row r="219" spans="1:11" hidden="1" x14ac:dyDescent="0.25">
      <c r="A219" s="886"/>
      <c r="B219" s="887"/>
      <c r="C219" s="887"/>
      <c r="D219" s="887"/>
      <c r="E219" s="887"/>
      <c r="F219" s="888"/>
      <c r="G219" s="886"/>
      <c r="H219" s="887"/>
      <c r="I219" s="887"/>
      <c r="J219" s="887"/>
      <c r="K219" s="888"/>
    </row>
    <row r="220" spans="1:11" hidden="1" x14ac:dyDescent="0.25">
      <c r="A220" s="886"/>
      <c r="B220" s="887"/>
      <c r="C220" s="887"/>
      <c r="D220" s="887"/>
      <c r="E220" s="887"/>
      <c r="F220" s="888"/>
      <c r="G220" s="886"/>
      <c r="H220" s="887"/>
      <c r="I220" s="887"/>
      <c r="J220" s="887"/>
      <c r="K220" s="888"/>
    </row>
    <row r="221" spans="1:11" hidden="1" x14ac:dyDescent="0.25">
      <c r="A221" s="886"/>
      <c r="B221" s="887"/>
      <c r="C221" s="887"/>
      <c r="D221" s="887"/>
      <c r="E221" s="887"/>
      <c r="F221" s="888"/>
      <c r="G221" s="886"/>
      <c r="H221" s="887"/>
      <c r="I221" s="887"/>
      <c r="J221" s="887"/>
      <c r="K221" s="888"/>
    </row>
    <row r="222" spans="1:11" hidden="1" x14ac:dyDescent="0.25">
      <c r="A222" s="886"/>
      <c r="B222" s="887"/>
      <c r="C222" s="887"/>
      <c r="D222" s="887"/>
      <c r="E222" s="887"/>
      <c r="F222" s="888"/>
      <c r="G222" s="886"/>
      <c r="H222" s="887"/>
      <c r="I222" s="887"/>
      <c r="J222" s="887"/>
      <c r="K222" s="888"/>
    </row>
    <row r="223" spans="1:11" hidden="1" x14ac:dyDescent="0.25">
      <c r="A223" s="886"/>
      <c r="B223" s="887"/>
      <c r="C223" s="887"/>
      <c r="D223" s="887"/>
      <c r="E223" s="887"/>
      <c r="F223" s="888"/>
      <c r="G223" s="886"/>
      <c r="H223" s="887"/>
      <c r="I223" s="887"/>
      <c r="J223" s="887"/>
      <c r="K223" s="888"/>
    </row>
    <row r="224" spans="1:11" hidden="1" x14ac:dyDescent="0.25">
      <c r="A224" s="886"/>
      <c r="B224" s="887"/>
      <c r="C224" s="887"/>
      <c r="D224" s="887"/>
      <c r="E224" s="887"/>
      <c r="F224" s="888"/>
      <c r="G224" s="886"/>
      <c r="H224" s="887"/>
      <c r="I224" s="887"/>
      <c r="J224" s="887"/>
      <c r="K224" s="888"/>
    </row>
    <row r="225" spans="1:11" hidden="1" x14ac:dyDescent="0.25">
      <c r="A225" s="886"/>
      <c r="B225" s="887"/>
      <c r="C225" s="887"/>
      <c r="D225" s="887"/>
      <c r="E225" s="887"/>
      <c r="F225" s="888"/>
      <c r="G225" s="886"/>
      <c r="H225" s="887"/>
      <c r="I225" s="887"/>
      <c r="J225" s="887"/>
      <c r="K225" s="888"/>
    </row>
    <row r="226" spans="1:11" hidden="1" x14ac:dyDescent="0.25">
      <c r="A226" s="886"/>
      <c r="B226" s="887"/>
      <c r="C226" s="887"/>
      <c r="D226" s="887"/>
      <c r="E226" s="887"/>
      <c r="F226" s="888"/>
      <c r="G226" s="886"/>
      <c r="H226" s="887"/>
      <c r="I226" s="887"/>
      <c r="J226" s="887"/>
      <c r="K226" s="888"/>
    </row>
    <row r="227" spans="1:11" hidden="1" x14ac:dyDescent="0.25">
      <c r="A227" s="886"/>
      <c r="B227" s="887"/>
      <c r="C227" s="887"/>
      <c r="D227" s="887"/>
      <c r="E227" s="887"/>
      <c r="F227" s="888"/>
      <c r="G227" s="886"/>
      <c r="H227" s="887"/>
      <c r="I227" s="887"/>
      <c r="J227" s="887"/>
      <c r="K227" s="888"/>
    </row>
    <row r="228" spans="1:11" hidden="1" x14ac:dyDescent="0.25">
      <c r="A228" s="886"/>
      <c r="B228" s="887"/>
      <c r="C228" s="887"/>
      <c r="D228" s="887"/>
      <c r="E228" s="887"/>
      <c r="F228" s="888"/>
      <c r="G228" s="886"/>
      <c r="H228" s="887"/>
      <c r="I228" s="887"/>
      <c r="J228" s="887"/>
      <c r="K228" s="888"/>
    </row>
    <row r="229" spans="1:11" hidden="1" x14ac:dyDescent="0.25">
      <c r="A229" s="1020" t="s">
        <v>551</v>
      </c>
      <c r="B229" s="1021"/>
      <c r="C229" s="1021"/>
      <c r="D229" s="1021"/>
      <c r="E229" s="1021"/>
      <c r="F229" s="1022"/>
      <c r="G229" s="1020" t="s">
        <v>552</v>
      </c>
      <c r="H229" s="1021"/>
      <c r="I229" s="1021"/>
      <c r="J229" s="1021"/>
      <c r="K229" s="1022"/>
    </row>
    <row r="230" spans="1:11" ht="15.75" hidden="1" thickBot="1" x14ac:dyDescent="0.3">
      <c r="A230" s="1023"/>
      <c r="B230" s="1024"/>
      <c r="C230" s="1024"/>
      <c r="D230" s="1024"/>
      <c r="E230" s="1024"/>
      <c r="F230" s="1025"/>
      <c r="G230" s="1023"/>
      <c r="H230" s="1024"/>
      <c r="I230" s="1024"/>
      <c r="J230" s="1024"/>
      <c r="K230" s="1025"/>
    </row>
    <row r="231" spans="1:11" hidden="1" x14ac:dyDescent="0.25">
      <c r="A231" s="886" t="s">
        <v>453</v>
      </c>
      <c r="B231" s="887"/>
      <c r="C231" s="887"/>
      <c r="D231" s="887"/>
      <c r="E231" s="887"/>
      <c r="F231" s="888"/>
      <c r="G231" s="886" t="s">
        <v>454</v>
      </c>
      <c r="H231" s="887"/>
      <c r="I231" s="887"/>
      <c r="J231" s="887"/>
      <c r="K231" s="888"/>
    </row>
    <row r="232" spans="1:11" hidden="1" x14ac:dyDescent="0.25">
      <c r="A232" s="886"/>
      <c r="B232" s="887"/>
      <c r="C232" s="887"/>
      <c r="D232" s="887"/>
      <c r="E232" s="887"/>
      <c r="F232" s="888"/>
      <c r="G232" s="886"/>
      <c r="H232" s="887"/>
      <c r="I232" s="887"/>
      <c r="J232" s="887"/>
      <c r="K232" s="888"/>
    </row>
    <row r="233" spans="1:11" hidden="1" x14ac:dyDescent="0.25">
      <c r="A233" s="886"/>
      <c r="B233" s="887"/>
      <c r="C233" s="887"/>
      <c r="D233" s="887"/>
      <c r="E233" s="887"/>
      <c r="F233" s="888"/>
      <c r="G233" s="886"/>
      <c r="H233" s="887"/>
      <c r="I233" s="887"/>
      <c r="J233" s="887"/>
      <c r="K233" s="888"/>
    </row>
    <row r="234" spans="1:11" hidden="1" x14ac:dyDescent="0.25">
      <c r="A234" s="886"/>
      <c r="B234" s="887"/>
      <c r="C234" s="887"/>
      <c r="D234" s="887"/>
      <c r="E234" s="887"/>
      <c r="F234" s="888"/>
      <c r="G234" s="886"/>
      <c r="H234" s="887"/>
      <c r="I234" s="887"/>
      <c r="J234" s="887"/>
      <c r="K234" s="888"/>
    </row>
    <row r="235" spans="1:11" hidden="1" x14ac:dyDescent="0.25">
      <c r="A235" s="886"/>
      <c r="B235" s="887"/>
      <c r="C235" s="887"/>
      <c r="D235" s="887"/>
      <c r="E235" s="887"/>
      <c r="F235" s="888"/>
      <c r="G235" s="886"/>
      <c r="H235" s="887"/>
      <c r="I235" s="887"/>
      <c r="J235" s="887"/>
      <c r="K235" s="888"/>
    </row>
    <row r="236" spans="1:11" hidden="1" x14ac:dyDescent="0.25">
      <c r="A236" s="886"/>
      <c r="B236" s="887"/>
      <c r="C236" s="887"/>
      <c r="D236" s="887"/>
      <c r="E236" s="887"/>
      <c r="F236" s="888"/>
      <c r="G236" s="886"/>
      <c r="H236" s="887"/>
      <c r="I236" s="887"/>
      <c r="J236" s="887"/>
      <c r="K236" s="888"/>
    </row>
    <row r="237" spans="1:11" hidden="1" x14ac:dyDescent="0.25">
      <c r="A237" s="886"/>
      <c r="B237" s="887"/>
      <c r="C237" s="887"/>
      <c r="D237" s="887"/>
      <c r="E237" s="887"/>
      <c r="F237" s="888"/>
      <c r="G237" s="886"/>
      <c r="H237" s="887"/>
      <c r="I237" s="887"/>
      <c r="J237" s="887"/>
      <c r="K237" s="888"/>
    </row>
    <row r="238" spans="1:11" hidden="1" x14ac:dyDescent="0.25">
      <c r="A238" s="886"/>
      <c r="B238" s="887"/>
      <c r="C238" s="887"/>
      <c r="D238" s="887"/>
      <c r="E238" s="887"/>
      <c r="F238" s="888"/>
      <c r="G238" s="886"/>
      <c r="H238" s="887"/>
      <c r="I238" s="887"/>
      <c r="J238" s="887"/>
      <c r="K238" s="888"/>
    </row>
    <row r="239" spans="1:11" hidden="1" x14ac:dyDescent="0.25">
      <c r="A239" s="886"/>
      <c r="B239" s="887"/>
      <c r="C239" s="887"/>
      <c r="D239" s="887"/>
      <c r="E239" s="887"/>
      <c r="F239" s="888"/>
      <c r="G239" s="886"/>
      <c r="H239" s="887"/>
      <c r="I239" s="887"/>
      <c r="J239" s="887"/>
      <c r="K239" s="888"/>
    </row>
    <row r="240" spans="1:11" hidden="1" x14ac:dyDescent="0.25">
      <c r="A240" s="886"/>
      <c r="B240" s="887"/>
      <c r="C240" s="887"/>
      <c r="D240" s="887"/>
      <c r="E240" s="887"/>
      <c r="F240" s="888"/>
      <c r="G240" s="886"/>
      <c r="H240" s="887"/>
      <c r="I240" s="887"/>
      <c r="J240" s="887"/>
      <c r="K240" s="888"/>
    </row>
    <row r="241" spans="1:11" hidden="1" x14ac:dyDescent="0.25">
      <c r="A241" s="886"/>
      <c r="B241" s="887"/>
      <c r="C241" s="887"/>
      <c r="D241" s="887"/>
      <c r="E241" s="887"/>
      <c r="F241" s="888"/>
      <c r="G241" s="886"/>
      <c r="H241" s="887"/>
      <c r="I241" s="887"/>
      <c r="J241" s="887"/>
      <c r="K241" s="888"/>
    </row>
    <row r="242" spans="1:11" hidden="1" x14ac:dyDescent="0.25">
      <c r="A242" s="886"/>
      <c r="B242" s="887"/>
      <c r="C242" s="887"/>
      <c r="D242" s="887"/>
      <c r="E242" s="887"/>
      <c r="F242" s="888"/>
      <c r="G242" s="886"/>
      <c r="H242" s="887"/>
      <c r="I242" s="887"/>
      <c r="J242" s="887"/>
      <c r="K242" s="888"/>
    </row>
    <row r="243" spans="1:11" hidden="1" x14ac:dyDescent="0.25">
      <c r="A243" s="886"/>
      <c r="B243" s="887"/>
      <c r="C243" s="887"/>
      <c r="D243" s="887"/>
      <c r="E243" s="887"/>
      <c r="F243" s="888"/>
      <c r="G243" s="886"/>
      <c r="H243" s="887"/>
      <c r="I243" s="887"/>
      <c r="J243" s="887"/>
      <c r="K243" s="888"/>
    </row>
    <row r="244" spans="1:11" hidden="1" x14ac:dyDescent="0.25">
      <c r="A244" s="886"/>
      <c r="B244" s="887"/>
      <c r="C244" s="887"/>
      <c r="D244" s="887"/>
      <c r="E244" s="887"/>
      <c r="F244" s="888"/>
      <c r="G244" s="886"/>
      <c r="H244" s="887"/>
      <c r="I244" s="887"/>
      <c r="J244" s="887"/>
      <c r="K244" s="888"/>
    </row>
    <row r="245" spans="1:11" hidden="1" x14ac:dyDescent="0.25">
      <c r="A245" s="1014" t="s">
        <v>553</v>
      </c>
      <c r="B245" s="1015"/>
      <c r="C245" s="1015"/>
      <c r="D245" s="1015"/>
      <c r="E245" s="1015"/>
      <c r="F245" s="1016"/>
      <c r="G245" s="1020" t="s">
        <v>554</v>
      </c>
      <c r="H245" s="1021"/>
      <c r="I245" s="1021"/>
      <c r="J245" s="1021"/>
      <c r="K245" s="1022"/>
    </row>
    <row r="246" spans="1:11" ht="15.75" hidden="1" thickBot="1" x14ac:dyDescent="0.3">
      <c r="A246" s="1017"/>
      <c r="B246" s="1018"/>
      <c r="C246" s="1018"/>
      <c r="D246" s="1018"/>
      <c r="E246" s="1018"/>
      <c r="F246" s="1019"/>
      <c r="G246" s="1023"/>
      <c r="H246" s="1024"/>
      <c r="I246" s="1024"/>
      <c r="J246" s="1024"/>
      <c r="K246" s="1025"/>
    </row>
    <row r="247" spans="1:11" ht="15" hidden="1" customHeight="1" x14ac:dyDescent="0.25">
      <c r="A247" s="308" t="s">
        <v>502</v>
      </c>
      <c r="B247" s="309"/>
      <c r="C247" s="309"/>
      <c r="D247" s="309"/>
      <c r="E247" s="309"/>
      <c r="F247" s="310"/>
      <c r="G247" s="308" t="s">
        <v>503</v>
      </c>
      <c r="H247" s="309"/>
      <c r="I247" s="309"/>
      <c r="J247" s="309"/>
      <c r="K247" s="310"/>
    </row>
    <row r="248" spans="1:11" ht="15" hidden="1" customHeight="1" x14ac:dyDescent="0.25">
      <c r="A248" s="311"/>
      <c r="B248" s="312"/>
      <c r="C248" s="312"/>
      <c r="D248" s="312"/>
      <c r="E248" s="312"/>
      <c r="F248" s="313"/>
      <c r="G248" s="311"/>
      <c r="H248" s="312"/>
      <c r="I248" s="312"/>
      <c r="J248" s="312"/>
      <c r="K248" s="313"/>
    </row>
    <row r="249" spans="1:11" ht="15" hidden="1" customHeight="1" x14ac:dyDescent="0.25">
      <c r="A249" s="311"/>
      <c r="B249" s="312"/>
      <c r="C249" s="312"/>
      <c r="D249" s="312"/>
      <c r="E249" s="312"/>
      <c r="F249" s="313"/>
      <c r="G249" s="311"/>
      <c r="H249" s="312"/>
      <c r="I249" s="312"/>
      <c r="J249" s="312"/>
      <c r="K249" s="313"/>
    </row>
    <row r="250" spans="1:11" ht="15" hidden="1" customHeight="1" x14ac:dyDescent="0.25">
      <c r="A250" s="311"/>
      <c r="B250" s="312"/>
      <c r="C250" s="312"/>
      <c r="D250" s="312"/>
      <c r="E250" s="312"/>
      <c r="F250" s="313"/>
      <c r="G250" s="311"/>
      <c r="H250" s="312"/>
      <c r="I250" s="312"/>
      <c r="J250" s="312"/>
      <c r="K250" s="313"/>
    </row>
    <row r="251" spans="1:11" ht="15" hidden="1" customHeight="1" x14ac:dyDescent="0.25">
      <c r="A251" s="311"/>
      <c r="B251" s="312"/>
      <c r="C251" s="312"/>
      <c r="D251" s="312"/>
      <c r="E251" s="312"/>
      <c r="F251" s="313"/>
      <c r="G251" s="311"/>
      <c r="H251" s="312"/>
      <c r="I251" s="312"/>
      <c r="J251" s="312"/>
      <c r="K251" s="313"/>
    </row>
    <row r="252" spans="1:11" ht="15" hidden="1" customHeight="1" x14ac:dyDescent="0.25">
      <c r="A252" s="311"/>
      <c r="B252" s="312"/>
      <c r="C252" s="312"/>
      <c r="D252" s="312"/>
      <c r="E252" s="312"/>
      <c r="F252" s="313"/>
      <c r="G252" s="311"/>
      <c r="H252" s="312"/>
      <c r="I252" s="312"/>
      <c r="J252" s="312"/>
      <c r="K252" s="313"/>
    </row>
    <row r="253" spans="1:11" ht="15" hidden="1" customHeight="1" x14ac:dyDescent="0.25">
      <c r="A253" s="311"/>
      <c r="B253" s="312"/>
      <c r="C253" s="312"/>
      <c r="D253" s="312"/>
      <c r="E253" s="312"/>
      <c r="F253" s="313"/>
      <c r="G253" s="311"/>
      <c r="H253" s="312"/>
      <c r="I253" s="312"/>
      <c r="J253" s="312"/>
      <c r="K253" s="313"/>
    </row>
    <row r="254" spans="1:11" ht="15" hidden="1" customHeight="1" x14ac:dyDescent="0.25">
      <c r="A254" s="311"/>
      <c r="B254" s="312"/>
      <c r="C254" s="312"/>
      <c r="D254" s="312"/>
      <c r="E254" s="312"/>
      <c r="F254" s="313"/>
      <c r="G254" s="311"/>
      <c r="H254" s="312"/>
      <c r="I254" s="312"/>
      <c r="J254" s="312"/>
      <c r="K254" s="313"/>
    </row>
    <row r="255" spans="1:11" ht="15" hidden="1" customHeight="1" x14ac:dyDescent="0.25">
      <c r="A255" s="311"/>
      <c r="B255" s="312"/>
      <c r="C255" s="312"/>
      <c r="D255" s="312"/>
      <c r="E255" s="312"/>
      <c r="F255" s="313"/>
      <c r="G255" s="311"/>
      <c r="H255" s="312"/>
      <c r="I255" s="312"/>
      <c r="J255" s="312"/>
      <c r="K255" s="313"/>
    </row>
    <row r="256" spans="1:11" ht="15" hidden="1" customHeight="1" x14ac:dyDescent="0.25">
      <c r="A256" s="311"/>
      <c r="B256" s="312"/>
      <c r="C256" s="312"/>
      <c r="D256" s="312"/>
      <c r="E256" s="312"/>
      <c r="F256" s="313"/>
      <c r="G256" s="311"/>
      <c r="H256" s="312"/>
      <c r="I256" s="312"/>
      <c r="J256" s="312"/>
      <c r="K256" s="313"/>
    </row>
    <row r="257" spans="1:11" ht="15" hidden="1" customHeight="1" x14ac:dyDescent="0.25">
      <c r="A257" s="311"/>
      <c r="B257" s="312"/>
      <c r="C257" s="312"/>
      <c r="D257" s="312"/>
      <c r="E257" s="312"/>
      <c r="F257" s="313"/>
      <c r="G257" s="311"/>
      <c r="H257" s="312"/>
      <c r="I257" s="312"/>
      <c r="J257" s="312"/>
      <c r="K257" s="313"/>
    </row>
    <row r="258" spans="1:11" ht="15" hidden="1" customHeight="1" x14ac:dyDescent="0.25">
      <c r="A258" s="311"/>
      <c r="B258" s="312"/>
      <c r="C258" s="312"/>
      <c r="D258" s="312"/>
      <c r="E258" s="312"/>
      <c r="F258" s="313"/>
      <c r="G258" s="311"/>
      <c r="H258" s="312"/>
      <c r="I258" s="312"/>
      <c r="J258" s="312"/>
      <c r="K258" s="313"/>
    </row>
    <row r="259" spans="1:11" ht="15" hidden="1" customHeight="1" x14ac:dyDescent="0.25">
      <c r="A259" s="311"/>
      <c r="B259" s="312"/>
      <c r="C259" s="312"/>
      <c r="D259" s="312"/>
      <c r="E259" s="312"/>
      <c r="F259" s="313"/>
      <c r="G259" s="311"/>
      <c r="H259" s="312"/>
      <c r="I259" s="312"/>
      <c r="J259" s="312"/>
      <c r="K259" s="313"/>
    </row>
    <row r="260" spans="1:11" ht="15" customHeight="1" x14ac:dyDescent="0.25">
      <c r="A260" s="886"/>
      <c r="B260" s="887"/>
      <c r="C260" s="887"/>
      <c r="D260" s="887"/>
      <c r="E260" s="887"/>
      <c r="F260" s="888"/>
      <c r="G260" s="886"/>
      <c r="H260" s="887"/>
      <c r="I260" s="887"/>
      <c r="J260" s="887"/>
      <c r="K260" s="888"/>
    </row>
    <row r="261" spans="1:11" ht="15" customHeight="1" x14ac:dyDescent="0.25">
      <c r="A261" s="886"/>
      <c r="B261" s="887"/>
      <c r="C261" s="887"/>
      <c r="D261" s="887"/>
      <c r="E261" s="887"/>
      <c r="F261" s="888"/>
      <c r="G261" s="886"/>
      <c r="H261" s="887"/>
      <c r="I261" s="887"/>
      <c r="J261" s="887"/>
      <c r="K261" s="888"/>
    </row>
    <row r="262" spans="1:11" ht="15" customHeight="1" x14ac:dyDescent="0.25">
      <c r="A262" s="886"/>
      <c r="B262" s="887"/>
      <c r="C262" s="887"/>
      <c r="D262" s="887"/>
      <c r="E262" s="887"/>
      <c r="F262" s="888"/>
      <c r="G262" s="886"/>
      <c r="H262" s="887"/>
      <c r="I262" s="887"/>
      <c r="J262" s="887"/>
      <c r="K262" s="888"/>
    </row>
    <row r="263" spans="1:11" ht="15" customHeight="1" x14ac:dyDescent="0.25">
      <c r="A263" s="886"/>
      <c r="B263" s="887"/>
      <c r="C263" s="887"/>
      <c r="D263" s="887"/>
      <c r="E263" s="887"/>
      <c r="F263" s="888"/>
      <c r="G263" s="886"/>
      <c r="H263" s="887"/>
      <c r="I263" s="887"/>
      <c r="J263" s="887"/>
      <c r="K263" s="888"/>
    </row>
    <row r="264" spans="1:11" ht="15" customHeight="1" x14ac:dyDescent="0.25">
      <c r="A264" s="886"/>
      <c r="B264" s="887"/>
      <c r="C264" s="887"/>
      <c r="D264" s="887"/>
      <c r="E264" s="887"/>
      <c r="F264" s="888"/>
      <c r="G264" s="886"/>
      <c r="H264" s="887"/>
      <c r="I264" s="887"/>
      <c r="J264" s="887"/>
      <c r="K264" s="888"/>
    </row>
    <row r="265" spans="1:11" ht="15" customHeight="1" x14ac:dyDescent="0.25">
      <c r="A265" s="886"/>
      <c r="B265" s="887"/>
      <c r="C265" s="887"/>
      <c r="D265" s="887"/>
      <c r="E265" s="887"/>
      <c r="F265" s="888"/>
      <c r="G265" s="886"/>
      <c r="H265" s="887"/>
      <c r="I265" s="887"/>
      <c r="J265" s="887"/>
      <c r="K265" s="888"/>
    </row>
    <row r="266" spans="1:11" ht="15" customHeight="1" x14ac:dyDescent="0.25">
      <c r="A266" s="886"/>
      <c r="B266" s="887"/>
      <c r="C266" s="887"/>
      <c r="D266" s="887"/>
      <c r="E266" s="887"/>
      <c r="F266" s="888"/>
      <c r="G266" s="886"/>
      <c r="H266" s="887"/>
      <c r="I266" s="887"/>
      <c r="J266" s="887"/>
      <c r="K266" s="888"/>
    </row>
    <row r="267" spans="1:11" ht="15" customHeight="1" x14ac:dyDescent="0.25">
      <c r="A267" s="886"/>
      <c r="B267" s="887"/>
      <c r="C267" s="887"/>
      <c r="D267" s="887"/>
      <c r="E267" s="887"/>
      <c r="F267" s="888"/>
      <c r="G267" s="886"/>
      <c r="H267" s="887"/>
      <c r="I267" s="887"/>
      <c r="J267" s="887"/>
      <c r="K267" s="888"/>
    </row>
    <row r="268" spans="1:11" ht="15" customHeight="1" x14ac:dyDescent="0.25">
      <c r="A268" s="886"/>
      <c r="B268" s="887"/>
      <c r="C268" s="887"/>
      <c r="D268" s="887"/>
      <c r="E268" s="887"/>
      <c r="F268" s="888"/>
      <c r="G268" s="886"/>
      <c r="H268" s="887"/>
      <c r="I268" s="887"/>
      <c r="J268" s="887"/>
      <c r="K268" s="888"/>
    </row>
    <row r="269" spans="1:11" ht="15" customHeight="1" x14ac:dyDescent="0.25">
      <c r="A269" s="886"/>
      <c r="B269" s="887"/>
      <c r="C269" s="887"/>
      <c r="D269" s="887"/>
      <c r="E269" s="887"/>
      <c r="F269" s="888"/>
      <c r="G269" s="886"/>
      <c r="H269" s="887"/>
      <c r="I269" s="887"/>
      <c r="J269" s="887"/>
      <c r="K269" s="888"/>
    </row>
    <row r="270" spans="1:11" ht="15" customHeight="1" x14ac:dyDescent="0.25">
      <c r="A270" s="886"/>
      <c r="B270" s="887"/>
      <c r="C270" s="887"/>
      <c r="D270" s="887"/>
      <c r="E270" s="887"/>
      <c r="F270" s="888"/>
      <c r="G270" s="886"/>
      <c r="H270" s="887"/>
      <c r="I270" s="887"/>
      <c r="J270" s="887"/>
      <c r="K270" s="888"/>
    </row>
    <row r="271" spans="1:11" ht="15" customHeight="1" x14ac:dyDescent="0.25">
      <c r="A271" s="886"/>
      <c r="B271" s="887"/>
      <c r="C271" s="887"/>
      <c r="D271" s="887"/>
      <c r="E271" s="887"/>
      <c r="F271" s="888"/>
      <c r="G271" s="886"/>
      <c r="H271" s="887"/>
      <c r="I271" s="887"/>
      <c r="J271" s="887"/>
      <c r="K271" s="888"/>
    </row>
    <row r="272" spans="1:11" ht="15" customHeight="1" x14ac:dyDescent="0.25">
      <c r="A272" s="886"/>
      <c r="B272" s="887"/>
      <c r="C272" s="887"/>
      <c r="D272" s="887"/>
      <c r="E272" s="887"/>
      <c r="F272" s="888"/>
      <c r="G272" s="886"/>
      <c r="H272" s="887"/>
      <c r="I272" s="887"/>
      <c r="J272" s="887"/>
      <c r="K272" s="888"/>
    </row>
    <row r="273" spans="1:11" ht="15" customHeight="1" thickBot="1" x14ac:dyDescent="0.3">
      <c r="A273" s="886"/>
      <c r="B273" s="887"/>
      <c r="C273" s="887"/>
      <c r="D273" s="887"/>
      <c r="E273" s="887"/>
      <c r="F273" s="888"/>
      <c r="G273" s="886"/>
      <c r="H273" s="887"/>
      <c r="I273" s="887"/>
      <c r="J273" s="887"/>
      <c r="K273" s="888"/>
    </row>
    <row r="274" spans="1:11" s="314" customFormat="1" ht="15" customHeight="1" x14ac:dyDescent="0.25">
      <c r="A274" s="1014" t="s">
        <v>1269</v>
      </c>
      <c r="B274" s="1015"/>
      <c r="C274" s="1015"/>
      <c r="D274" s="1015"/>
      <c r="E274" s="1015"/>
      <c r="F274" s="1016"/>
      <c r="G274" s="1020" t="s">
        <v>1270</v>
      </c>
      <c r="H274" s="1021"/>
      <c r="I274" s="1021"/>
      <c r="J274" s="1021"/>
      <c r="K274" s="1022"/>
    </row>
    <row r="275" spans="1:11" s="315" customFormat="1" ht="15" customHeight="1" thickBot="1" x14ac:dyDescent="0.3">
      <c r="A275" s="1017"/>
      <c r="B275" s="1018"/>
      <c r="C275" s="1018"/>
      <c r="D275" s="1018"/>
      <c r="E275" s="1018"/>
      <c r="F275" s="1019"/>
      <c r="G275" s="1023"/>
      <c r="H275" s="1024"/>
      <c r="I275" s="1024"/>
      <c r="J275" s="1024"/>
      <c r="K275" s="1025"/>
    </row>
    <row r="276" spans="1:11" ht="15" customHeight="1" x14ac:dyDescent="0.25">
      <c r="A276" s="901"/>
      <c r="B276" s="902"/>
      <c r="C276" s="902"/>
      <c r="D276" s="902"/>
      <c r="E276" s="902"/>
      <c r="F276" s="903"/>
      <c r="G276" s="901"/>
      <c r="H276" s="902"/>
      <c r="I276" s="902"/>
      <c r="J276" s="902"/>
      <c r="K276" s="903"/>
    </row>
    <row r="277" spans="1:11" ht="15" customHeight="1" x14ac:dyDescent="0.25">
      <c r="A277" s="886"/>
      <c r="B277" s="887"/>
      <c r="C277" s="887"/>
      <c r="D277" s="887"/>
      <c r="E277" s="887"/>
      <c r="F277" s="888"/>
      <c r="G277" s="886"/>
      <c r="H277" s="887"/>
      <c r="I277" s="887"/>
      <c r="J277" s="887"/>
      <c r="K277" s="888"/>
    </row>
    <row r="278" spans="1:11" ht="15" customHeight="1" x14ac:dyDescent="0.25">
      <c r="A278" s="886"/>
      <c r="B278" s="887"/>
      <c r="C278" s="887"/>
      <c r="D278" s="887"/>
      <c r="E278" s="887"/>
      <c r="F278" s="888"/>
      <c r="G278" s="886"/>
      <c r="H278" s="887"/>
      <c r="I278" s="887"/>
      <c r="J278" s="887"/>
      <c r="K278" s="888"/>
    </row>
    <row r="279" spans="1:11" ht="15" customHeight="1" x14ac:dyDescent="0.25">
      <c r="A279" s="886"/>
      <c r="B279" s="887"/>
      <c r="C279" s="887"/>
      <c r="D279" s="887"/>
      <c r="E279" s="887"/>
      <c r="F279" s="888"/>
      <c r="G279" s="886"/>
      <c r="H279" s="887"/>
      <c r="I279" s="887"/>
      <c r="J279" s="887"/>
      <c r="K279" s="888"/>
    </row>
    <row r="280" spans="1:11" ht="15" customHeight="1" x14ac:dyDescent="0.25">
      <c r="A280" s="886"/>
      <c r="B280" s="887"/>
      <c r="C280" s="887"/>
      <c r="D280" s="887"/>
      <c r="E280" s="887"/>
      <c r="F280" s="888"/>
      <c r="G280" s="886"/>
      <c r="H280" s="887"/>
      <c r="I280" s="887"/>
      <c r="J280" s="887"/>
      <c r="K280" s="888"/>
    </row>
    <row r="281" spans="1:11" ht="15" customHeight="1" x14ac:dyDescent="0.25">
      <c r="A281" s="886"/>
      <c r="B281" s="887"/>
      <c r="C281" s="887"/>
      <c r="D281" s="887"/>
      <c r="E281" s="887"/>
      <c r="F281" s="888"/>
      <c r="G281" s="886"/>
      <c r="H281" s="887"/>
      <c r="I281" s="887"/>
      <c r="J281" s="887"/>
      <c r="K281" s="888"/>
    </row>
    <row r="282" spans="1:11" ht="15" customHeight="1" x14ac:dyDescent="0.25">
      <c r="A282" s="886"/>
      <c r="B282" s="887"/>
      <c r="C282" s="887"/>
      <c r="D282" s="887"/>
      <c r="E282" s="887"/>
      <c r="F282" s="888"/>
      <c r="G282" s="886"/>
      <c r="H282" s="887"/>
      <c r="I282" s="887"/>
      <c r="J282" s="887"/>
      <c r="K282" s="888"/>
    </row>
    <row r="283" spans="1:11" ht="15" customHeight="1" x14ac:dyDescent="0.25">
      <c r="A283" s="886"/>
      <c r="B283" s="887"/>
      <c r="C283" s="887"/>
      <c r="D283" s="887"/>
      <c r="E283" s="887"/>
      <c r="F283" s="888"/>
      <c r="G283" s="886"/>
      <c r="H283" s="887"/>
      <c r="I283" s="887"/>
      <c r="J283" s="887"/>
      <c r="K283" s="888"/>
    </row>
    <row r="284" spans="1:11" ht="15" customHeight="1" x14ac:dyDescent="0.25">
      <c r="A284" s="886"/>
      <c r="B284" s="887"/>
      <c r="C284" s="887"/>
      <c r="D284" s="887"/>
      <c r="E284" s="887"/>
      <c r="F284" s="888"/>
      <c r="G284" s="886"/>
      <c r="H284" s="887"/>
      <c r="I284" s="887"/>
      <c r="J284" s="887"/>
      <c r="K284" s="888"/>
    </row>
    <row r="285" spans="1:11" ht="15" customHeight="1" x14ac:dyDescent="0.25">
      <c r="A285" s="886"/>
      <c r="B285" s="887"/>
      <c r="C285" s="887"/>
      <c r="D285" s="887"/>
      <c r="E285" s="887"/>
      <c r="F285" s="888"/>
      <c r="G285" s="886"/>
      <c r="H285" s="887"/>
      <c r="I285" s="887"/>
      <c r="J285" s="887"/>
      <c r="K285" s="888"/>
    </row>
    <row r="286" spans="1:11" ht="15" customHeight="1" x14ac:dyDescent="0.25">
      <c r="A286" s="886"/>
      <c r="B286" s="887"/>
      <c r="C286" s="887"/>
      <c r="D286" s="887"/>
      <c r="E286" s="887"/>
      <c r="F286" s="888"/>
      <c r="G286" s="886"/>
      <c r="H286" s="887"/>
      <c r="I286" s="887"/>
      <c r="J286" s="887"/>
      <c r="K286" s="888"/>
    </row>
    <row r="287" spans="1:11" ht="15" customHeight="1" x14ac:dyDescent="0.25">
      <c r="A287" s="886"/>
      <c r="B287" s="887"/>
      <c r="C287" s="887"/>
      <c r="D287" s="887"/>
      <c r="E287" s="887"/>
      <c r="F287" s="888"/>
      <c r="G287" s="886"/>
      <c r="H287" s="887"/>
      <c r="I287" s="887"/>
      <c r="J287" s="887"/>
      <c r="K287" s="888"/>
    </row>
    <row r="288" spans="1:11" ht="15" customHeight="1" x14ac:dyDescent="0.25">
      <c r="A288" s="886"/>
      <c r="B288" s="887"/>
      <c r="C288" s="887"/>
      <c r="D288" s="887"/>
      <c r="E288" s="887"/>
      <c r="F288" s="888"/>
      <c r="G288" s="886"/>
      <c r="H288" s="887"/>
      <c r="I288" s="887"/>
      <c r="J288" s="887"/>
      <c r="K288" s="888"/>
    </row>
    <row r="289" spans="1:11" ht="15" customHeight="1" x14ac:dyDescent="0.25">
      <c r="A289" s="886"/>
      <c r="B289" s="887"/>
      <c r="C289" s="887"/>
      <c r="D289" s="887"/>
      <c r="E289" s="887"/>
      <c r="F289" s="888"/>
      <c r="G289" s="886"/>
      <c r="H289" s="887"/>
      <c r="I289" s="887"/>
      <c r="J289" s="887"/>
      <c r="K289" s="888"/>
    </row>
    <row r="290" spans="1:11" ht="6" customHeight="1" thickBot="1" x14ac:dyDescent="0.3">
      <c r="A290" s="886"/>
      <c r="B290" s="887"/>
      <c r="C290" s="887"/>
      <c r="D290" s="887"/>
      <c r="E290" s="887"/>
      <c r="F290" s="888"/>
      <c r="G290" s="886"/>
      <c r="H290" s="887"/>
      <c r="I290" s="887"/>
      <c r="J290" s="887"/>
      <c r="K290" s="888"/>
    </row>
    <row r="291" spans="1:11" x14ac:dyDescent="0.25">
      <c r="A291" s="1014" t="s">
        <v>1271</v>
      </c>
      <c r="B291" s="1015"/>
      <c r="C291" s="1015"/>
      <c r="D291" s="1015"/>
      <c r="E291" s="1015"/>
      <c r="F291" s="1016"/>
      <c r="G291" s="1020" t="s">
        <v>1272</v>
      </c>
      <c r="H291" s="1021"/>
      <c r="I291" s="1021"/>
      <c r="J291" s="1021"/>
      <c r="K291" s="1022"/>
    </row>
    <row r="292" spans="1:11" ht="15.75" thickBot="1" x14ac:dyDescent="0.3">
      <c r="A292" s="1017"/>
      <c r="B292" s="1018"/>
      <c r="C292" s="1018"/>
      <c r="D292" s="1018"/>
      <c r="E292" s="1018"/>
      <c r="F292" s="1019"/>
      <c r="G292" s="1023"/>
      <c r="H292" s="1024"/>
      <c r="I292" s="1024"/>
      <c r="J292" s="1024"/>
      <c r="K292" s="1025"/>
    </row>
    <row r="293" spans="1:11" ht="15" customHeight="1" x14ac:dyDescent="0.25">
      <c r="A293" s="901"/>
      <c r="B293" s="902"/>
      <c r="C293" s="902"/>
      <c r="D293" s="902"/>
      <c r="E293" s="902"/>
      <c r="F293" s="903"/>
      <c r="G293" s="901"/>
      <c r="H293" s="902"/>
      <c r="I293" s="902"/>
      <c r="J293" s="902"/>
      <c r="K293" s="903"/>
    </row>
    <row r="294" spans="1:11" ht="15" customHeight="1" x14ac:dyDescent="0.25">
      <c r="A294" s="886"/>
      <c r="B294" s="887"/>
      <c r="C294" s="887"/>
      <c r="D294" s="887"/>
      <c r="E294" s="887"/>
      <c r="F294" s="888"/>
      <c r="G294" s="886"/>
      <c r="H294" s="887"/>
      <c r="I294" s="887"/>
      <c r="J294" s="887"/>
      <c r="K294" s="888"/>
    </row>
    <row r="295" spans="1:11" ht="15" customHeight="1" x14ac:dyDescent="0.25">
      <c r="A295" s="886"/>
      <c r="B295" s="887"/>
      <c r="C295" s="887"/>
      <c r="D295" s="887"/>
      <c r="E295" s="887"/>
      <c r="F295" s="888"/>
      <c r="G295" s="886"/>
      <c r="H295" s="887"/>
      <c r="I295" s="887"/>
      <c r="J295" s="887"/>
      <c r="K295" s="888"/>
    </row>
    <row r="296" spans="1:11" ht="15" customHeight="1" x14ac:dyDescent="0.25">
      <c r="A296" s="886"/>
      <c r="B296" s="887"/>
      <c r="C296" s="887"/>
      <c r="D296" s="887"/>
      <c r="E296" s="887"/>
      <c r="F296" s="888"/>
      <c r="G296" s="886"/>
      <c r="H296" s="887"/>
      <c r="I296" s="887"/>
      <c r="J296" s="887"/>
      <c r="K296" s="888"/>
    </row>
    <row r="297" spans="1:11" ht="15" customHeight="1" x14ac:dyDescent="0.25">
      <c r="A297" s="886"/>
      <c r="B297" s="887"/>
      <c r="C297" s="887"/>
      <c r="D297" s="887"/>
      <c r="E297" s="887"/>
      <c r="F297" s="888"/>
      <c r="G297" s="886"/>
      <c r="H297" s="887"/>
      <c r="I297" s="887"/>
      <c r="J297" s="887"/>
      <c r="K297" s="888"/>
    </row>
    <row r="298" spans="1:11" ht="15" customHeight="1" x14ac:dyDescent="0.25">
      <c r="A298" s="886"/>
      <c r="B298" s="887"/>
      <c r="C298" s="887"/>
      <c r="D298" s="887"/>
      <c r="E298" s="887"/>
      <c r="F298" s="888"/>
      <c r="G298" s="886"/>
      <c r="H298" s="887"/>
      <c r="I298" s="887"/>
      <c r="J298" s="887"/>
      <c r="K298" s="888"/>
    </row>
    <row r="299" spans="1:11" ht="15" customHeight="1" x14ac:dyDescent="0.25">
      <c r="A299" s="886"/>
      <c r="B299" s="887"/>
      <c r="C299" s="887"/>
      <c r="D299" s="887"/>
      <c r="E299" s="887"/>
      <c r="F299" s="888"/>
      <c r="G299" s="886"/>
      <c r="H299" s="887"/>
      <c r="I299" s="887"/>
      <c r="J299" s="887"/>
      <c r="K299" s="888"/>
    </row>
    <row r="300" spans="1:11" ht="15" customHeight="1" x14ac:dyDescent="0.25">
      <c r="A300" s="886"/>
      <c r="B300" s="887"/>
      <c r="C300" s="887"/>
      <c r="D300" s="887"/>
      <c r="E300" s="887"/>
      <c r="F300" s="888"/>
      <c r="G300" s="886"/>
      <c r="H300" s="887"/>
      <c r="I300" s="887"/>
      <c r="J300" s="887"/>
      <c r="K300" s="888"/>
    </row>
    <row r="301" spans="1:11" ht="15" customHeight="1" x14ac:dyDescent="0.25">
      <c r="A301" s="886"/>
      <c r="B301" s="887"/>
      <c r="C301" s="887"/>
      <c r="D301" s="887"/>
      <c r="E301" s="887"/>
      <c r="F301" s="888"/>
      <c r="G301" s="886"/>
      <c r="H301" s="887"/>
      <c r="I301" s="887"/>
      <c r="J301" s="887"/>
      <c r="K301" s="888"/>
    </row>
    <row r="302" spans="1:11" ht="15" customHeight="1" x14ac:dyDescent="0.25">
      <c r="A302" s="886"/>
      <c r="B302" s="887"/>
      <c r="C302" s="887"/>
      <c r="D302" s="887"/>
      <c r="E302" s="887"/>
      <c r="F302" s="888"/>
      <c r="G302" s="886"/>
      <c r="H302" s="887"/>
      <c r="I302" s="887"/>
      <c r="J302" s="887"/>
      <c r="K302" s="888"/>
    </row>
    <row r="303" spans="1:11" ht="15" customHeight="1" x14ac:dyDescent="0.25">
      <c r="A303" s="886"/>
      <c r="B303" s="887"/>
      <c r="C303" s="887"/>
      <c r="D303" s="887"/>
      <c r="E303" s="887"/>
      <c r="F303" s="888"/>
      <c r="G303" s="886"/>
      <c r="H303" s="887"/>
      <c r="I303" s="887"/>
      <c r="J303" s="887"/>
      <c r="K303" s="888"/>
    </row>
    <row r="304" spans="1:11" ht="15" customHeight="1" x14ac:dyDescent="0.25">
      <c r="A304" s="886"/>
      <c r="B304" s="887"/>
      <c r="C304" s="887"/>
      <c r="D304" s="887"/>
      <c r="E304" s="887"/>
      <c r="F304" s="888"/>
      <c r="G304" s="886"/>
      <c r="H304" s="887"/>
      <c r="I304" s="887"/>
      <c r="J304" s="887"/>
      <c r="K304" s="888"/>
    </row>
    <row r="305" spans="1:11" ht="15" customHeight="1" x14ac:dyDescent="0.25">
      <c r="A305" s="886"/>
      <c r="B305" s="887"/>
      <c r="C305" s="887"/>
      <c r="D305" s="887"/>
      <c r="E305" s="887"/>
      <c r="F305" s="888"/>
      <c r="G305" s="886"/>
      <c r="H305" s="887"/>
      <c r="I305" s="887"/>
      <c r="J305" s="887"/>
      <c r="K305" s="888"/>
    </row>
    <row r="306" spans="1:11" ht="15" customHeight="1" x14ac:dyDescent="0.25">
      <c r="A306" s="886"/>
      <c r="B306" s="887"/>
      <c r="C306" s="887"/>
      <c r="D306" s="887"/>
      <c r="E306" s="887"/>
      <c r="F306" s="888"/>
      <c r="G306" s="886"/>
      <c r="H306" s="887"/>
      <c r="I306" s="887"/>
      <c r="J306" s="887"/>
      <c r="K306" s="888"/>
    </row>
    <row r="307" spans="1:11" ht="6" customHeight="1" thickBot="1" x14ac:dyDescent="0.3">
      <c r="A307" s="886"/>
      <c r="B307" s="887"/>
      <c r="C307" s="887"/>
      <c r="D307" s="887"/>
      <c r="E307" s="887"/>
      <c r="F307" s="888"/>
      <c r="G307" s="886"/>
      <c r="H307" s="887"/>
      <c r="I307" s="887"/>
      <c r="J307" s="887"/>
      <c r="K307" s="888"/>
    </row>
    <row r="308" spans="1:11" x14ac:dyDescent="0.25">
      <c r="A308" s="1014" t="s">
        <v>1273</v>
      </c>
      <c r="B308" s="1015"/>
      <c r="C308" s="1015"/>
      <c r="D308" s="1015"/>
      <c r="E308" s="1015"/>
      <c r="F308" s="1016"/>
      <c r="G308" s="1020" t="s">
        <v>1274</v>
      </c>
      <c r="H308" s="1021"/>
      <c r="I308" s="1021"/>
      <c r="J308" s="1021"/>
      <c r="K308" s="1022"/>
    </row>
    <row r="309" spans="1:11" ht="15.75" thickBot="1" x14ac:dyDescent="0.3">
      <c r="A309" s="1017"/>
      <c r="B309" s="1018"/>
      <c r="C309" s="1018"/>
      <c r="D309" s="1018"/>
      <c r="E309" s="1018"/>
      <c r="F309" s="1019"/>
      <c r="G309" s="1023"/>
      <c r="H309" s="1024"/>
      <c r="I309" s="1024"/>
      <c r="J309" s="1024"/>
      <c r="K309" s="1025"/>
    </row>
    <row r="310" spans="1:11" ht="15" customHeight="1" x14ac:dyDescent="0.25">
      <c r="A310" s="901"/>
      <c r="B310" s="902"/>
      <c r="C310" s="902"/>
      <c r="D310" s="902"/>
      <c r="E310" s="902"/>
      <c r="F310" s="903"/>
      <c r="G310" s="901"/>
      <c r="H310" s="902"/>
      <c r="I310" s="902"/>
      <c r="J310" s="902"/>
      <c r="K310" s="903"/>
    </row>
    <row r="311" spans="1:11" ht="15" customHeight="1" x14ac:dyDescent="0.25">
      <c r="A311" s="886"/>
      <c r="B311" s="887"/>
      <c r="C311" s="887"/>
      <c r="D311" s="887"/>
      <c r="E311" s="887"/>
      <c r="F311" s="888"/>
      <c r="G311" s="886"/>
      <c r="H311" s="887"/>
      <c r="I311" s="887"/>
      <c r="J311" s="887"/>
      <c r="K311" s="888"/>
    </row>
    <row r="312" spans="1:11" ht="15" customHeight="1" x14ac:dyDescent="0.25">
      <c r="A312" s="886"/>
      <c r="B312" s="887"/>
      <c r="C312" s="887"/>
      <c r="D312" s="887"/>
      <c r="E312" s="887"/>
      <c r="F312" s="888"/>
      <c r="G312" s="886"/>
      <c r="H312" s="887"/>
      <c r="I312" s="887"/>
      <c r="J312" s="887"/>
      <c r="K312" s="888"/>
    </row>
    <row r="313" spans="1:11" ht="15" customHeight="1" x14ac:dyDescent="0.25">
      <c r="A313" s="886"/>
      <c r="B313" s="887"/>
      <c r="C313" s="887"/>
      <c r="D313" s="887"/>
      <c r="E313" s="887"/>
      <c r="F313" s="888"/>
      <c r="G313" s="886"/>
      <c r="H313" s="887"/>
      <c r="I313" s="887"/>
      <c r="J313" s="887"/>
      <c r="K313" s="888"/>
    </row>
    <row r="314" spans="1:11" ht="15" customHeight="1" x14ac:dyDescent="0.25">
      <c r="A314" s="886"/>
      <c r="B314" s="887"/>
      <c r="C314" s="887"/>
      <c r="D314" s="887"/>
      <c r="E314" s="887"/>
      <c r="F314" s="888"/>
      <c r="G314" s="886"/>
      <c r="H314" s="887"/>
      <c r="I314" s="887"/>
      <c r="J314" s="887"/>
      <c r="K314" s="888"/>
    </row>
    <row r="315" spans="1:11" ht="15" customHeight="1" x14ac:dyDescent="0.25">
      <c r="A315" s="886"/>
      <c r="B315" s="887"/>
      <c r="C315" s="887"/>
      <c r="D315" s="887"/>
      <c r="E315" s="887"/>
      <c r="F315" s="888"/>
      <c r="G315" s="886"/>
      <c r="H315" s="887"/>
      <c r="I315" s="887"/>
      <c r="J315" s="887"/>
      <c r="K315" s="888"/>
    </row>
    <row r="316" spans="1:11" ht="15" customHeight="1" x14ac:dyDescent="0.25">
      <c r="A316" s="886"/>
      <c r="B316" s="887"/>
      <c r="C316" s="887"/>
      <c r="D316" s="887"/>
      <c r="E316" s="887"/>
      <c r="F316" s="888"/>
      <c r="G316" s="886"/>
      <c r="H316" s="887"/>
      <c r="I316" s="887"/>
      <c r="J316" s="887"/>
      <c r="K316" s="888"/>
    </row>
    <row r="317" spans="1:11" ht="15" customHeight="1" x14ac:dyDescent="0.25">
      <c r="A317" s="886"/>
      <c r="B317" s="887"/>
      <c r="C317" s="887"/>
      <c r="D317" s="887"/>
      <c r="E317" s="887"/>
      <c r="F317" s="888"/>
      <c r="G317" s="886"/>
      <c r="H317" s="887"/>
      <c r="I317" s="887"/>
      <c r="J317" s="887"/>
      <c r="K317" s="888"/>
    </row>
    <row r="318" spans="1:11" ht="15" customHeight="1" x14ac:dyDescent="0.25">
      <c r="A318" s="886"/>
      <c r="B318" s="887"/>
      <c r="C318" s="887"/>
      <c r="D318" s="887"/>
      <c r="E318" s="887"/>
      <c r="F318" s="888"/>
      <c r="G318" s="886"/>
      <c r="H318" s="887"/>
      <c r="I318" s="887"/>
      <c r="J318" s="887"/>
      <c r="K318" s="888"/>
    </row>
    <row r="319" spans="1:11" ht="15" customHeight="1" x14ac:dyDescent="0.25">
      <c r="A319" s="886"/>
      <c r="B319" s="887"/>
      <c r="C319" s="887"/>
      <c r="D319" s="887"/>
      <c r="E319" s="887"/>
      <c r="F319" s="888"/>
      <c r="G319" s="886"/>
      <c r="H319" s="887"/>
      <c r="I319" s="887"/>
      <c r="J319" s="887"/>
      <c r="K319" s="888"/>
    </row>
    <row r="320" spans="1:11" ht="15" customHeight="1" x14ac:dyDescent="0.25">
      <c r="A320" s="886"/>
      <c r="B320" s="887"/>
      <c r="C320" s="887"/>
      <c r="D320" s="887"/>
      <c r="E320" s="887"/>
      <c r="F320" s="888"/>
      <c r="G320" s="886"/>
      <c r="H320" s="887"/>
      <c r="I320" s="887"/>
      <c r="J320" s="887"/>
      <c r="K320" s="888"/>
    </row>
    <row r="321" spans="1:11" ht="15" customHeight="1" x14ac:dyDescent="0.25">
      <c r="A321" s="886"/>
      <c r="B321" s="887"/>
      <c r="C321" s="887"/>
      <c r="D321" s="887"/>
      <c r="E321" s="887"/>
      <c r="F321" s="888"/>
      <c r="G321" s="886"/>
      <c r="H321" s="887"/>
      <c r="I321" s="887"/>
      <c r="J321" s="887"/>
      <c r="K321" s="888"/>
    </row>
    <row r="322" spans="1:11" ht="15" customHeight="1" x14ac:dyDescent="0.25">
      <c r="A322" s="886"/>
      <c r="B322" s="887"/>
      <c r="C322" s="887"/>
      <c r="D322" s="887"/>
      <c r="E322" s="887"/>
      <c r="F322" s="888"/>
      <c r="G322" s="886"/>
      <c r="H322" s="887"/>
      <c r="I322" s="887"/>
      <c r="J322" s="887"/>
      <c r="K322" s="888"/>
    </row>
    <row r="323" spans="1:11" ht="15" customHeight="1" x14ac:dyDescent="0.25">
      <c r="A323" s="886"/>
      <c r="B323" s="887"/>
      <c r="C323" s="887"/>
      <c r="D323" s="887"/>
      <c r="E323" s="887"/>
      <c r="F323" s="888"/>
      <c r="G323" s="886"/>
      <c r="H323" s="887"/>
      <c r="I323" s="887"/>
      <c r="J323" s="887"/>
      <c r="K323" s="888"/>
    </row>
    <row r="324" spans="1:11" ht="6" customHeight="1" thickBot="1" x14ac:dyDescent="0.3">
      <c r="A324" s="886"/>
      <c r="B324" s="887"/>
      <c r="C324" s="887"/>
      <c r="D324" s="887"/>
      <c r="E324" s="887"/>
      <c r="F324" s="888"/>
      <c r="G324" s="886"/>
      <c r="H324" s="887"/>
      <c r="I324" s="887"/>
      <c r="J324" s="887"/>
      <c r="K324" s="888"/>
    </row>
    <row r="325" spans="1:11" x14ac:dyDescent="0.25">
      <c r="A325" s="1014" t="s">
        <v>1275</v>
      </c>
      <c r="B325" s="1015"/>
      <c r="C325" s="1015"/>
      <c r="D325" s="1015"/>
      <c r="E325" s="1015"/>
      <c r="F325" s="1016"/>
      <c r="G325" s="1020" t="s">
        <v>1276</v>
      </c>
      <c r="H325" s="1021"/>
      <c r="I325" s="1021"/>
      <c r="J325" s="1021"/>
      <c r="K325" s="1022"/>
    </row>
    <row r="326" spans="1:11" ht="15.75" thickBot="1" x14ac:dyDescent="0.3">
      <c r="A326" s="1017"/>
      <c r="B326" s="1018"/>
      <c r="C326" s="1018"/>
      <c r="D326" s="1018"/>
      <c r="E326" s="1018"/>
      <c r="F326" s="1019"/>
      <c r="G326" s="1023"/>
      <c r="H326" s="1024"/>
      <c r="I326" s="1024"/>
      <c r="J326" s="1024"/>
      <c r="K326" s="1025"/>
    </row>
    <row r="327" spans="1:11" x14ac:dyDescent="0.25">
      <c r="A327" s="901" t="s">
        <v>504</v>
      </c>
      <c r="B327" s="902"/>
      <c r="C327" s="902"/>
      <c r="D327" s="902"/>
      <c r="E327" s="902"/>
      <c r="F327" s="903"/>
      <c r="G327" s="901" t="s">
        <v>505</v>
      </c>
      <c r="H327" s="902"/>
      <c r="I327" s="902"/>
      <c r="J327" s="902"/>
      <c r="K327" s="903"/>
    </row>
    <row r="328" spans="1:11" x14ac:dyDescent="0.25">
      <c r="A328" s="886"/>
      <c r="B328" s="887"/>
      <c r="C328" s="887"/>
      <c r="D328" s="887"/>
      <c r="E328" s="887"/>
      <c r="F328" s="888"/>
      <c r="G328" s="886"/>
      <c r="H328" s="887"/>
      <c r="I328" s="887"/>
      <c r="J328" s="887"/>
      <c r="K328" s="888"/>
    </row>
    <row r="329" spans="1:11" x14ac:dyDescent="0.25">
      <c r="A329" s="886"/>
      <c r="B329" s="887"/>
      <c r="C329" s="887"/>
      <c r="D329" s="887"/>
      <c r="E329" s="887"/>
      <c r="F329" s="888"/>
      <c r="G329" s="886"/>
      <c r="H329" s="887"/>
      <c r="I329" s="887"/>
      <c r="J329" s="887"/>
      <c r="K329" s="888"/>
    </row>
    <row r="330" spans="1:11" x14ac:dyDescent="0.25">
      <c r="A330" s="886"/>
      <c r="B330" s="887"/>
      <c r="C330" s="887"/>
      <c r="D330" s="887"/>
      <c r="E330" s="887"/>
      <c r="F330" s="888"/>
      <c r="G330" s="886"/>
      <c r="H330" s="887"/>
      <c r="I330" s="887"/>
      <c r="J330" s="887"/>
      <c r="K330" s="888"/>
    </row>
    <row r="331" spans="1:11" x14ac:dyDescent="0.25">
      <c r="A331" s="886"/>
      <c r="B331" s="887"/>
      <c r="C331" s="887"/>
      <c r="D331" s="887"/>
      <c r="E331" s="887"/>
      <c r="F331" s="888"/>
      <c r="G331" s="886"/>
      <c r="H331" s="887"/>
      <c r="I331" s="887"/>
      <c r="J331" s="887"/>
      <c r="K331" s="888"/>
    </row>
    <row r="332" spans="1:11" x14ac:dyDescent="0.25">
      <c r="A332" s="886"/>
      <c r="B332" s="887"/>
      <c r="C332" s="887"/>
      <c r="D332" s="887"/>
      <c r="E332" s="887"/>
      <c r="F332" s="888"/>
      <c r="G332" s="886"/>
      <c r="H332" s="887"/>
      <c r="I332" s="887"/>
      <c r="J332" s="887"/>
      <c r="K332" s="888"/>
    </row>
    <row r="333" spans="1:11" x14ac:dyDescent="0.25">
      <c r="A333" s="886"/>
      <c r="B333" s="887"/>
      <c r="C333" s="887"/>
      <c r="D333" s="887"/>
      <c r="E333" s="887"/>
      <c r="F333" s="888"/>
      <c r="G333" s="886"/>
      <c r="H333" s="887"/>
      <c r="I333" s="887"/>
      <c r="J333" s="887"/>
      <c r="K333" s="888"/>
    </row>
    <row r="334" spans="1:11" x14ac:dyDescent="0.25">
      <c r="A334" s="886"/>
      <c r="B334" s="887"/>
      <c r="C334" s="887"/>
      <c r="D334" s="887"/>
      <c r="E334" s="887"/>
      <c r="F334" s="888"/>
      <c r="G334" s="886"/>
      <c r="H334" s="887"/>
      <c r="I334" s="887"/>
      <c r="J334" s="887"/>
      <c r="K334" s="888"/>
    </row>
    <row r="335" spans="1:11" x14ac:dyDescent="0.25">
      <c r="A335" s="886"/>
      <c r="B335" s="887"/>
      <c r="C335" s="887"/>
      <c r="D335" s="887"/>
      <c r="E335" s="887"/>
      <c r="F335" s="888"/>
      <c r="G335" s="886"/>
      <c r="H335" s="887"/>
      <c r="I335" s="887"/>
      <c r="J335" s="887"/>
      <c r="K335" s="888"/>
    </row>
    <row r="336" spans="1:11" x14ac:dyDescent="0.25">
      <c r="A336" s="886"/>
      <c r="B336" s="887"/>
      <c r="C336" s="887"/>
      <c r="D336" s="887"/>
      <c r="E336" s="887"/>
      <c r="F336" s="888"/>
      <c r="G336" s="886"/>
      <c r="H336" s="887"/>
      <c r="I336" s="887"/>
      <c r="J336" s="887"/>
      <c r="K336" s="888"/>
    </row>
    <row r="337" spans="1:11" x14ac:dyDescent="0.25">
      <c r="A337" s="886"/>
      <c r="B337" s="887"/>
      <c r="C337" s="887"/>
      <c r="D337" s="887"/>
      <c r="E337" s="887"/>
      <c r="F337" s="888"/>
      <c r="G337" s="886"/>
      <c r="H337" s="887"/>
      <c r="I337" s="887"/>
      <c r="J337" s="887"/>
      <c r="K337" s="888"/>
    </row>
    <row r="338" spans="1:11" x14ac:dyDescent="0.25">
      <c r="A338" s="886"/>
      <c r="B338" s="887"/>
      <c r="C338" s="887"/>
      <c r="D338" s="887"/>
      <c r="E338" s="887"/>
      <c r="F338" s="888"/>
      <c r="G338" s="886"/>
      <c r="H338" s="887"/>
      <c r="I338" s="887"/>
      <c r="J338" s="887"/>
      <c r="K338" s="888"/>
    </row>
    <row r="339" spans="1:11" x14ac:dyDescent="0.25">
      <c r="A339" s="886"/>
      <c r="B339" s="887"/>
      <c r="C339" s="887"/>
      <c r="D339" s="887"/>
      <c r="E339" s="887"/>
      <c r="F339" s="888"/>
      <c r="G339" s="886"/>
      <c r="H339" s="887"/>
      <c r="I339" s="887"/>
      <c r="J339" s="887"/>
      <c r="K339" s="888"/>
    </row>
    <row r="340" spans="1:11" ht="15.75" thickBot="1" x14ac:dyDescent="0.3">
      <c r="A340" s="886"/>
      <c r="B340" s="887"/>
      <c r="C340" s="887"/>
      <c r="D340" s="887"/>
      <c r="E340" s="887"/>
      <c r="F340" s="888"/>
      <c r="G340" s="886"/>
      <c r="H340" s="887"/>
      <c r="I340" s="887"/>
      <c r="J340" s="887"/>
      <c r="K340" s="888"/>
    </row>
    <row r="341" spans="1:11" x14ac:dyDescent="0.25">
      <c r="A341" s="1020" t="s">
        <v>1277</v>
      </c>
      <c r="B341" s="1021"/>
      <c r="C341" s="1021"/>
      <c r="D341" s="1021"/>
      <c r="E341" s="1021"/>
      <c r="F341" s="1022"/>
      <c r="G341" s="1020" t="s">
        <v>1278</v>
      </c>
      <c r="H341" s="1021"/>
      <c r="I341" s="1021"/>
      <c r="J341" s="1021"/>
      <c r="K341" s="1022"/>
    </row>
    <row r="342" spans="1:11" ht="15.75" thickBot="1" x14ac:dyDescent="0.3">
      <c r="A342" s="1023"/>
      <c r="B342" s="1024"/>
      <c r="C342" s="1024"/>
      <c r="D342" s="1024"/>
      <c r="E342" s="1024"/>
      <c r="F342" s="1025"/>
      <c r="G342" s="1023"/>
      <c r="H342" s="1024"/>
      <c r="I342" s="1024"/>
      <c r="J342" s="1024"/>
      <c r="K342" s="1025"/>
    </row>
    <row r="343" spans="1:11" x14ac:dyDescent="0.25">
      <c r="A343" s="901" t="s">
        <v>504</v>
      </c>
      <c r="B343" s="902"/>
      <c r="C343" s="902"/>
      <c r="D343" s="902"/>
      <c r="E343" s="902"/>
      <c r="F343" s="903"/>
      <c r="G343" s="901" t="s">
        <v>505</v>
      </c>
      <c r="H343" s="902"/>
      <c r="I343" s="902"/>
      <c r="J343" s="902"/>
      <c r="K343" s="903"/>
    </row>
    <row r="344" spans="1:11" x14ac:dyDescent="0.25">
      <c r="A344" s="886"/>
      <c r="B344" s="887"/>
      <c r="C344" s="887"/>
      <c r="D344" s="887"/>
      <c r="E344" s="887"/>
      <c r="F344" s="888"/>
      <c r="G344" s="886"/>
      <c r="H344" s="887"/>
      <c r="I344" s="887"/>
      <c r="J344" s="887"/>
      <c r="K344" s="888"/>
    </row>
    <row r="345" spans="1:11" x14ac:dyDescent="0.25">
      <c r="A345" s="886"/>
      <c r="B345" s="887"/>
      <c r="C345" s="887"/>
      <c r="D345" s="887"/>
      <c r="E345" s="887"/>
      <c r="F345" s="888"/>
      <c r="G345" s="886"/>
      <c r="H345" s="887"/>
      <c r="I345" s="887"/>
      <c r="J345" s="887"/>
      <c r="K345" s="888"/>
    </row>
    <row r="346" spans="1:11" x14ac:dyDescent="0.25">
      <c r="A346" s="886"/>
      <c r="B346" s="887"/>
      <c r="C346" s="887"/>
      <c r="D346" s="887"/>
      <c r="E346" s="887"/>
      <c r="F346" s="888"/>
      <c r="G346" s="886"/>
      <c r="H346" s="887"/>
      <c r="I346" s="887"/>
      <c r="J346" s="887"/>
      <c r="K346" s="888"/>
    </row>
    <row r="347" spans="1:11" x14ac:dyDescent="0.25">
      <c r="A347" s="886"/>
      <c r="B347" s="887"/>
      <c r="C347" s="887"/>
      <c r="D347" s="887"/>
      <c r="E347" s="887"/>
      <c r="F347" s="888"/>
      <c r="G347" s="886"/>
      <c r="H347" s="887"/>
      <c r="I347" s="887"/>
      <c r="J347" s="887"/>
      <c r="K347" s="888"/>
    </row>
    <row r="348" spans="1:11" x14ac:dyDescent="0.25">
      <c r="A348" s="886"/>
      <c r="B348" s="887"/>
      <c r="C348" s="887"/>
      <c r="D348" s="887"/>
      <c r="E348" s="887"/>
      <c r="F348" s="888"/>
      <c r="G348" s="886"/>
      <c r="H348" s="887"/>
      <c r="I348" s="887"/>
      <c r="J348" s="887"/>
      <c r="K348" s="888"/>
    </row>
    <row r="349" spans="1:11" x14ac:dyDescent="0.25">
      <c r="A349" s="886"/>
      <c r="B349" s="887"/>
      <c r="C349" s="887"/>
      <c r="D349" s="887"/>
      <c r="E349" s="887"/>
      <c r="F349" s="888"/>
      <c r="G349" s="886"/>
      <c r="H349" s="887"/>
      <c r="I349" s="887"/>
      <c r="J349" s="887"/>
      <c r="K349" s="888"/>
    </row>
    <row r="350" spans="1:11" x14ac:dyDescent="0.25">
      <c r="A350" s="886"/>
      <c r="B350" s="887"/>
      <c r="C350" s="887"/>
      <c r="D350" s="887"/>
      <c r="E350" s="887"/>
      <c r="F350" s="888"/>
      <c r="G350" s="886"/>
      <c r="H350" s="887"/>
      <c r="I350" s="887"/>
      <c r="J350" s="887"/>
      <c r="K350" s="888"/>
    </row>
    <row r="351" spans="1:11" x14ac:dyDescent="0.25">
      <c r="A351" s="886"/>
      <c r="B351" s="887"/>
      <c r="C351" s="887"/>
      <c r="D351" s="887"/>
      <c r="E351" s="887"/>
      <c r="F351" s="888"/>
      <c r="G351" s="886"/>
      <c r="H351" s="887"/>
      <c r="I351" s="887"/>
      <c r="J351" s="887"/>
      <c r="K351" s="888"/>
    </row>
    <row r="352" spans="1:11" x14ac:dyDescent="0.25">
      <c r="A352" s="886"/>
      <c r="B352" s="887"/>
      <c r="C352" s="887"/>
      <c r="D352" s="887"/>
      <c r="E352" s="887"/>
      <c r="F352" s="888"/>
      <c r="G352" s="886"/>
      <c r="H352" s="887"/>
      <c r="I352" s="887"/>
      <c r="J352" s="887"/>
      <c r="K352" s="888"/>
    </row>
    <row r="353" spans="1:11" x14ac:dyDescent="0.25">
      <c r="A353" s="886"/>
      <c r="B353" s="887"/>
      <c r="C353" s="887"/>
      <c r="D353" s="887"/>
      <c r="E353" s="887"/>
      <c r="F353" s="888"/>
      <c r="G353" s="886"/>
      <c r="H353" s="887"/>
      <c r="I353" s="887"/>
      <c r="J353" s="887"/>
      <c r="K353" s="888"/>
    </row>
    <row r="354" spans="1:11" x14ac:dyDescent="0.25">
      <c r="A354" s="886"/>
      <c r="B354" s="887"/>
      <c r="C354" s="887"/>
      <c r="D354" s="887"/>
      <c r="E354" s="887"/>
      <c r="F354" s="888"/>
      <c r="G354" s="886"/>
      <c r="H354" s="887"/>
      <c r="I354" s="887"/>
      <c r="J354" s="887"/>
      <c r="K354" s="888"/>
    </row>
    <row r="355" spans="1:11" x14ac:dyDescent="0.25">
      <c r="A355" s="886"/>
      <c r="B355" s="887"/>
      <c r="C355" s="887"/>
      <c r="D355" s="887"/>
      <c r="E355" s="887"/>
      <c r="F355" s="888"/>
      <c r="G355" s="886"/>
      <c r="H355" s="887"/>
      <c r="I355" s="887"/>
      <c r="J355" s="887"/>
      <c r="K355" s="888"/>
    </row>
    <row r="356" spans="1:11" ht="15.75" thickBot="1" x14ac:dyDescent="0.3">
      <c r="A356" s="886"/>
      <c r="B356" s="887"/>
      <c r="C356" s="887"/>
      <c r="D356" s="887"/>
      <c r="E356" s="887"/>
      <c r="F356" s="888"/>
      <c r="G356" s="886"/>
      <c r="H356" s="887"/>
      <c r="I356" s="887"/>
      <c r="J356" s="887"/>
      <c r="K356" s="888"/>
    </row>
    <row r="357" spans="1:11" x14ac:dyDescent="0.25">
      <c r="A357" s="1020" t="s">
        <v>1279</v>
      </c>
      <c r="B357" s="1021"/>
      <c r="C357" s="1021"/>
      <c r="D357" s="1021"/>
      <c r="E357" s="1021"/>
      <c r="F357" s="1022"/>
      <c r="G357" s="1020" t="s">
        <v>1280</v>
      </c>
      <c r="H357" s="1021"/>
      <c r="I357" s="1021"/>
      <c r="J357" s="1021"/>
      <c r="K357" s="1022"/>
    </row>
    <row r="358" spans="1:11" ht="31.5" customHeight="1" thickBot="1" x14ac:dyDescent="0.3">
      <c r="A358" s="1023"/>
      <c r="B358" s="1024"/>
      <c r="C358" s="1024"/>
      <c r="D358" s="1024"/>
      <c r="E358" s="1024"/>
      <c r="F358" s="1025"/>
      <c r="G358" s="1023"/>
      <c r="H358" s="1024"/>
      <c r="I358" s="1024"/>
      <c r="J358" s="1024"/>
      <c r="K358" s="1025"/>
    </row>
    <row r="359" spans="1:11" x14ac:dyDescent="0.25">
      <c r="A359" s="901" t="s">
        <v>504</v>
      </c>
      <c r="B359" s="902"/>
      <c r="C359" s="902"/>
      <c r="D359" s="902"/>
      <c r="E359" s="902"/>
      <c r="F359" s="903"/>
      <c r="G359" s="901" t="s">
        <v>505</v>
      </c>
      <c r="H359" s="902"/>
      <c r="I359" s="902"/>
      <c r="J359" s="902"/>
      <c r="K359" s="903"/>
    </row>
    <row r="360" spans="1:11" x14ac:dyDescent="0.25">
      <c r="A360" s="886"/>
      <c r="B360" s="887"/>
      <c r="C360" s="887"/>
      <c r="D360" s="887"/>
      <c r="E360" s="887"/>
      <c r="F360" s="888"/>
      <c r="G360" s="886"/>
      <c r="H360" s="887"/>
      <c r="I360" s="887"/>
      <c r="J360" s="887"/>
      <c r="K360" s="888"/>
    </row>
    <row r="361" spans="1:11" x14ac:dyDescent="0.25">
      <c r="A361" s="886"/>
      <c r="B361" s="887"/>
      <c r="C361" s="887"/>
      <c r="D361" s="887"/>
      <c r="E361" s="887"/>
      <c r="F361" s="888"/>
      <c r="G361" s="886"/>
      <c r="H361" s="887"/>
      <c r="I361" s="887"/>
      <c r="J361" s="887"/>
      <c r="K361" s="888"/>
    </row>
    <row r="362" spans="1:11" x14ac:dyDescent="0.25">
      <c r="A362" s="886"/>
      <c r="B362" s="887"/>
      <c r="C362" s="887"/>
      <c r="D362" s="887"/>
      <c r="E362" s="887"/>
      <c r="F362" s="888"/>
      <c r="G362" s="886"/>
      <c r="H362" s="887"/>
      <c r="I362" s="887"/>
      <c r="J362" s="887"/>
      <c r="K362" s="888"/>
    </row>
    <row r="363" spans="1:11" x14ac:dyDescent="0.25">
      <c r="A363" s="886"/>
      <c r="B363" s="887"/>
      <c r="C363" s="887"/>
      <c r="D363" s="887"/>
      <c r="E363" s="887"/>
      <c r="F363" s="888"/>
      <c r="G363" s="886"/>
      <c r="H363" s="887"/>
      <c r="I363" s="887"/>
      <c r="J363" s="887"/>
      <c r="K363" s="888"/>
    </row>
    <row r="364" spans="1:11" x14ac:dyDescent="0.25">
      <c r="A364" s="886"/>
      <c r="B364" s="887"/>
      <c r="C364" s="887"/>
      <c r="D364" s="887"/>
      <c r="E364" s="887"/>
      <c r="F364" s="888"/>
      <c r="G364" s="886"/>
      <c r="H364" s="887"/>
      <c r="I364" s="887"/>
      <c r="J364" s="887"/>
      <c r="K364" s="888"/>
    </row>
    <row r="365" spans="1:11" x14ac:dyDescent="0.25">
      <c r="A365" s="886"/>
      <c r="B365" s="887"/>
      <c r="C365" s="887"/>
      <c r="D365" s="887"/>
      <c r="E365" s="887"/>
      <c r="F365" s="888"/>
      <c r="G365" s="886"/>
      <c r="H365" s="887"/>
      <c r="I365" s="887"/>
      <c r="J365" s="887"/>
      <c r="K365" s="888"/>
    </row>
    <row r="366" spans="1:11" x14ac:dyDescent="0.25">
      <c r="A366" s="886"/>
      <c r="B366" s="887"/>
      <c r="C366" s="887"/>
      <c r="D366" s="887"/>
      <c r="E366" s="887"/>
      <c r="F366" s="888"/>
      <c r="G366" s="886"/>
      <c r="H366" s="887"/>
      <c r="I366" s="887"/>
      <c r="J366" s="887"/>
      <c r="K366" s="888"/>
    </row>
    <row r="367" spans="1:11" x14ac:dyDescent="0.25">
      <c r="A367" s="886"/>
      <c r="B367" s="887"/>
      <c r="C367" s="887"/>
      <c r="D367" s="887"/>
      <c r="E367" s="887"/>
      <c r="F367" s="888"/>
      <c r="G367" s="886"/>
      <c r="H367" s="887"/>
      <c r="I367" s="887"/>
      <c r="J367" s="887"/>
      <c r="K367" s="888"/>
    </row>
    <row r="368" spans="1:11" x14ac:dyDescent="0.25">
      <c r="A368" s="886"/>
      <c r="B368" s="887"/>
      <c r="C368" s="887"/>
      <c r="D368" s="887"/>
      <c r="E368" s="887"/>
      <c r="F368" s="888"/>
      <c r="G368" s="886"/>
      <c r="H368" s="887"/>
      <c r="I368" s="887"/>
      <c r="J368" s="887"/>
      <c r="K368" s="888"/>
    </row>
    <row r="369" spans="1:11" x14ac:dyDescent="0.25">
      <c r="A369" s="886"/>
      <c r="B369" s="887"/>
      <c r="C369" s="887"/>
      <c r="D369" s="887"/>
      <c r="E369" s="887"/>
      <c r="F369" s="888"/>
      <c r="G369" s="886"/>
      <c r="H369" s="887"/>
      <c r="I369" s="887"/>
      <c r="J369" s="887"/>
      <c r="K369" s="888"/>
    </row>
    <row r="370" spans="1:11" x14ac:dyDescent="0.25">
      <c r="A370" s="886"/>
      <c r="B370" s="887"/>
      <c r="C370" s="887"/>
      <c r="D370" s="887"/>
      <c r="E370" s="887"/>
      <c r="F370" s="888"/>
      <c r="G370" s="886"/>
      <c r="H370" s="887"/>
      <c r="I370" s="887"/>
      <c r="J370" s="887"/>
      <c r="K370" s="888"/>
    </row>
    <row r="371" spans="1:11" x14ac:dyDescent="0.25">
      <c r="A371" s="886"/>
      <c r="B371" s="887"/>
      <c r="C371" s="887"/>
      <c r="D371" s="887"/>
      <c r="E371" s="887"/>
      <c r="F371" s="888"/>
      <c r="G371" s="886"/>
      <c r="H371" s="887"/>
      <c r="I371" s="887"/>
      <c r="J371" s="887"/>
      <c r="K371" s="888"/>
    </row>
    <row r="372" spans="1:11" ht="15.75" thickBot="1" x14ac:dyDescent="0.3">
      <c r="A372" s="886"/>
      <c r="B372" s="887"/>
      <c r="C372" s="887"/>
      <c r="D372" s="887"/>
      <c r="E372" s="887"/>
      <c r="F372" s="888"/>
      <c r="G372" s="886"/>
      <c r="H372" s="887"/>
      <c r="I372" s="887"/>
      <c r="J372" s="887"/>
      <c r="K372" s="888"/>
    </row>
    <row r="373" spans="1:11" x14ac:dyDescent="0.25">
      <c r="A373" s="1020" t="s">
        <v>1281</v>
      </c>
      <c r="B373" s="1021"/>
      <c r="C373" s="1021"/>
      <c r="D373" s="1021"/>
      <c r="E373" s="1021"/>
      <c r="F373" s="1022"/>
      <c r="G373" s="1020" t="s">
        <v>1282</v>
      </c>
      <c r="H373" s="1021"/>
      <c r="I373" s="1021"/>
      <c r="J373" s="1021"/>
      <c r="K373" s="1022"/>
    </row>
    <row r="374" spans="1:11" ht="15.75" thickBot="1" x14ac:dyDescent="0.3">
      <c r="A374" s="1023"/>
      <c r="B374" s="1024"/>
      <c r="C374" s="1024"/>
      <c r="D374" s="1024"/>
      <c r="E374" s="1024"/>
      <c r="F374" s="1025"/>
      <c r="G374" s="1023"/>
      <c r="H374" s="1024"/>
      <c r="I374" s="1024"/>
      <c r="J374" s="1024"/>
      <c r="K374" s="1025"/>
    </row>
    <row r="375" spans="1:11" x14ac:dyDescent="0.25">
      <c r="A375" s="901" t="s">
        <v>502</v>
      </c>
      <c r="B375" s="902"/>
      <c r="C375" s="902"/>
      <c r="D375" s="902"/>
      <c r="E375" s="902"/>
      <c r="F375" s="903"/>
      <c r="G375" s="901"/>
      <c r="H375" s="902"/>
      <c r="I375" s="902"/>
      <c r="J375" s="902"/>
      <c r="K375" s="903"/>
    </row>
    <row r="376" spans="1:11" x14ac:dyDescent="0.25">
      <c r="A376" s="886"/>
      <c r="B376" s="887"/>
      <c r="C376" s="887"/>
      <c r="D376" s="887"/>
      <c r="E376" s="887"/>
      <c r="F376" s="888"/>
      <c r="G376" s="886"/>
      <c r="H376" s="887"/>
      <c r="I376" s="887"/>
      <c r="J376" s="887"/>
      <c r="K376" s="888"/>
    </row>
    <row r="377" spans="1:11" x14ac:dyDescent="0.25">
      <c r="A377" s="886"/>
      <c r="B377" s="887"/>
      <c r="C377" s="887"/>
      <c r="D377" s="887"/>
      <c r="E377" s="887"/>
      <c r="F377" s="888"/>
      <c r="G377" s="886"/>
      <c r="H377" s="887"/>
      <c r="I377" s="887"/>
      <c r="J377" s="887"/>
      <c r="K377" s="888"/>
    </row>
    <row r="378" spans="1:11" x14ac:dyDescent="0.25">
      <c r="A378" s="886"/>
      <c r="B378" s="887"/>
      <c r="C378" s="887"/>
      <c r="D378" s="887"/>
      <c r="E378" s="887"/>
      <c r="F378" s="888"/>
      <c r="G378" s="886"/>
      <c r="H378" s="887"/>
      <c r="I378" s="887"/>
      <c r="J378" s="887"/>
      <c r="K378" s="888"/>
    </row>
    <row r="379" spans="1:11" x14ac:dyDescent="0.25">
      <c r="A379" s="886"/>
      <c r="B379" s="887"/>
      <c r="C379" s="887"/>
      <c r="D379" s="887"/>
      <c r="E379" s="887"/>
      <c r="F379" s="888"/>
      <c r="G379" s="886"/>
      <c r="H379" s="887"/>
      <c r="I379" s="887"/>
      <c r="J379" s="887"/>
      <c r="K379" s="888"/>
    </row>
    <row r="380" spans="1:11" x14ac:dyDescent="0.25">
      <c r="A380" s="886"/>
      <c r="B380" s="887"/>
      <c r="C380" s="887"/>
      <c r="D380" s="887"/>
      <c r="E380" s="887"/>
      <c r="F380" s="888"/>
      <c r="G380" s="886"/>
      <c r="H380" s="887"/>
      <c r="I380" s="887"/>
      <c r="J380" s="887"/>
      <c r="K380" s="888"/>
    </row>
    <row r="381" spans="1:11" x14ac:dyDescent="0.25">
      <c r="A381" s="886"/>
      <c r="B381" s="887"/>
      <c r="C381" s="887"/>
      <c r="D381" s="887"/>
      <c r="E381" s="887"/>
      <c r="F381" s="888"/>
      <c r="G381" s="886"/>
      <c r="H381" s="887"/>
      <c r="I381" s="887"/>
      <c r="J381" s="887"/>
      <c r="K381" s="888"/>
    </row>
    <row r="382" spans="1:11" x14ac:dyDescent="0.25">
      <c r="A382" s="886"/>
      <c r="B382" s="887"/>
      <c r="C382" s="887"/>
      <c r="D382" s="887"/>
      <c r="E382" s="887"/>
      <c r="F382" s="888"/>
      <c r="G382" s="886"/>
      <c r="H382" s="887"/>
      <c r="I382" s="887"/>
      <c r="J382" s="887"/>
      <c r="K382" s="888"/>
    </row>
    <row r="383" spans="1:11" x14ac:dyDescent="0.25">
      <c r="A383" s="886"/>
      <c r="B383" s="887"/>
      <c r="C383" s="887"/>
      <c r="D383" s="887"/>
      <c r="E383" s="887"/>
      <c r="F383" s="888"/>
      <c r="G383" s="886"/>
      <c r="H383" s="887"/>
      <c r="I383" s="887"/>
      <c r="J383" s="887"/>
      <c r="K383" s="888"/>
    </row>
    <row r="384" spans="1:11" x14ac:dyDescent="0.25">
      <c r="A384" s="886"/>
      <c r="B384" s="887"/>
      <c r="C384" s="887"/>
      <c r="D384" s="887"/>
      <c r="E384" s="887"/>
      <c r="F384" s="888"/>
      <c r="G384" s="886"/>
      <c r="H384" s="887"/>
      <c r="I384" s="887"/>
      <c r="J384" s="887"/>
      <c r="K384" s="888"/>
    </row>
    <row r="385" spans="1:11" x14ac:dyDescent="0.25">
      <c r="A385" s="886"/>
      <c r="B385" s="887"/>
      <c r="C385" s="887"/>
      <c r="D385" s="887"/>
      <c r="E385" s="887"/>
      <c r="F385" s="888"/>
      <c r="G385" s="886"/>
      <c r="H385" s="887"/>
      <c r="I385" s="887"/>
      <c r="J385" s="887"/>
      <c r="K385" s="888"/>
    </row>
    <row r="386" spans="1:11" x14ac:dyDescent="0.25">
      <c r="A386" s="886"/>
      <c r="B386" s="887"/>
      <c r="C386" s="887"/>
      <c r="D386" s="887"/>
      <c r="E386" s="887"/>
      <c r="F386" s="888"/>
      <c r="G386" s="886"/>
      <c r="H386" s="887"/>
      <c r="I386" s="887"/>
      <c r="J386" s="887"/>
      <c r="K386" s="888"/>
    </row>
    <row r="387" spans="1:11" x14ac:dyDescent="0.25">
      <c r="A387" s="886"/>
      <c r="B387" s="887"/>
      <c r="C387" s="887"/>
      <c r="D387" s="887"/>
      <c r="E387" s="887"/>
      <c r="F387" s="888"/>
      <c r="G387" s="886"/>
      <c r="H387" s="887"/>
      <c r="I387" s="887"/>
      <c r="J387" s="887"/>
      <c r="K387" s="888"/>
    </row>
    <row r="388" spans="1:11" ht="15.75" thickBot="1" x14ac:dyDescent="0.3">
      <c r="A388" s="886"/>
      <c r="B388" s="887"/>
      <c r="C388" s="887"/>
      <c r="D388" s="887"/>
      <c r="E388" s="887"/>
      <c r="F388" s="888"/>
      <c r="G388" s="886"/>
      <c r="H388" s="887"/>
      <c r="I388" s="887"/>
      <c r="J388" s="887"/>
      <c r="K388" s="888"/>
    </row>
    <row r="389" spans="1:11" x14ac:dyDescent="0.25">
      <c r="A389" s="1014" t="s">
        <v>958</v>
      </c>
      <c r="B389" s="1015"/>
      <c r="C389" s="1015"/>
      <c r="D389" s="1015"/>
      <c r="E389" s="1015"/>
      <c r="F389" s="1016"/>
      <c r="G389" s="1020" t="s">
        <v>959</v>
      </c>
      <c r="H389" s="1021"/>
      <c r="I389" s="1021"/>
      <c r="J389" s="1021"/>
      <c r="K389" s="1022"/>
    </row>
    <row r="390" spans="1:11" ht="22.5" customHeight="1" thickBot="1" x14ac:dyDescent="0.3">
      <c r="A390" s="1017"/>
      <c r="B390" s="1018"/>
      <c r="C390" s="1018"/>
      <c r="D390" s="1018"/>
      <c r="E390" s="1018"/>
      <c r="F390" s="1019"/>
      <c r="G390" s="1023"/>
      <c r="H390" s="1024"/>
      <c r="I390" s="1024"/>
      <c r="J390" s="1024"/>
      <c r="K390" s="1025"/>
    </row>
    <row r="391" spans="1:11" x14ac:dyDescent="0.25">
      <c r="A391" s="901"/>
      <c r="B391" s="902"/>
      <c r="C391" s="902"/>
      <c r="D391" s="902"/>
      <c r="E391" s="902"/>
      <c r="F391" s="903"/>
      <c r="G391" s="901"/>
      <c r="H391" s="902"/>
      <c r="I391" s="902"/>
      <c r="J391" s="902"/>
      <c r="K391" s="903"/>
    </row>
    <row r="392" spans="1:11" x14ac:dyDescent="0.25">
      <c r="A392" s="886"/>
      <c r="B392" s="887"/>
      <c r="C392" s="887"/>
      <c r="D392" s="887"/>
      <c r="E392" s="887"/>
      <c r="F392" s="888"/>
      <c r="G392" s="886"/>
      <c r="H392" s="887"/>
      <c r="I392" s="887"/>
      <c r="J392" s="887"/>
      <c r="K392" s="888"/>
    </row>
    <row r="393" spans="1:11" x14ac:dyDescent="0.25">
      <c r="A393" s="886"/>
      <c r="B393" s="887"/>
      <c r="C393" s="887"/>
      <c r="D393" s="887"/>
      <c r="E393" s="887"/>
      <c r="F393" s="888"/>
      <c r="G393" s="886"/>
      <c r="H393" s="887"/>
      <c r="I393" s="887"/>
      <c r="J393" s="887"/>
      <c r="K393" s="888"/>
    </row>
    <row r="394" spans="1:11" x14ac:dyDescent="0.25">
      <c r="A394" s="886"/>
      <c r="B394" s="887"/>
      <c r="C394" s="887"/>
      <c r="D394" s="887"/>
      <c r="E394" s="887"/>
      <c r="F394" s="888"/>
      <c r="G394" s="886"/>
      <c r="H394" s="887"/>
      <c r="I394" s="887"/>
      <c r="J394" s="887"/>
      <c r="K394" s="888"/>
    </row>
    <row r="395" spans="1:11" x14ac:dyDescent="0.25">
      <c r="A395" s="886"/>
      <c r="B395" s="887"/>
      <c r="C395" s="887"/>
      <c r="D395" s="887"/>
      <c r="E395" s="887"/>
      <c r="F395" s="888"/>
      <c r="G395" s="886"/>
      <c r="H395" s="887"/>
      <c r="I395" s="887"/>
      <c r="J395" s="887"/>
      <c r="K395" s="888"/>
    </row>
    <row r="396" spans="1:11" x14ac:dyDescent="0.25">
      <c r="A396" s="886"/>
      <c r="B396" s="887"/>
      <c r="C396" s="887"/>
      <c r="D396" s="887"/>
      <c r="E396" s="887"/>
      <c r="F396" s="888"/>
      <c r="G396" s="886"/>
      <c r="H396" s="887"/>
      <c r="I396" s="887"/>
      <c r="J396" s="887"/>
      <c r="K396" s="888"/>
    </row>
    <row r="397" spans="1:11" x14ac:dyDescent="0.25">
      <c r="A397" s="886"/>
      <c r="B397" s="887"/>
      <c r="C397" s="887"/>
      <c r="D397" s="887"/>
      <c r="E397" s="887"/>
      <c r="F397" s="888"/>
      <c r="G397" s="886"/>
      <c r="H397" s="887"/>
      <c r="I397" s="887"/>
      <c r="J397" s="887"/>
      <c r="K397" s="888"/>
    </row>
    <row r="398" spans="1:11" x14ac:dyDescent="0.25">
      <c r="A398" s="886"/>
      <c r="B398" s="887"/>
      <c r="C398" s="887"/>
      <c r="D398" s="887"/>
      <c r="E398" s="887"/>
      <c r="F398" s="888"/>
      <c r="G398" s="886"/>
      <c r="H398" s="887"/>
      <c r="I398" s="887"/>
      <c r="J398" s="887"/>
      <c r="K398" s="888"/>
    </row>
    <row r="399" spans="1:11" x14ac:dyDescent="0.25">
      <c r="A399" s="886"/>
      <c r="B399" s="887"/>
      <c r="C399" s="887"/>
      <c r="D399" s="887"/>
      <c r="E399" s="887"/>
      <c r="F399" s="888"/>
      <c r="G399" s="886"/>
      <c r="H399" s="887"/>
      <c r="I399" s="887"/>
      <c r="J399" s="887"/>
      <c r="K399" s="888"/>
    </row>
    <row r="400" spans="1:11" x14ac:dyDescent="0.25">
      <c r="A400" s="886"/>
      <c r="B400" s="887"/>
      <c r="C400" s="887"/>
      <c r="D400" s="887"/>
      <c r="E400" s="887"/>
      <c r="F400" s="888"/>
      <c r="G400" s="886"/>
      <c r="H400" s="887"/>
      <c r="I400" s="887"/>
      <c r="J400" s="887"/>
      <c r="K400" s="888"/>
    </row>
    <row r="401" spans="1:11" x14ac:dyDescent="0.25">
      <c r="A401" s="886"/>
      <c r="B401" s="887"/>
      <c r="C401" s="887"/>
      <c r="D401" s="887"/>
      <c r="E401" s="887"/>
      <c r="F401" s="888"/>
      <c r="G401" s="886"/>
      <c r="H401" s="887"/>
      <c r="I401" s="887"/>
      <c r="J401" s="887"/>
      <c r="K401" s="888"/>
    </row>
    <row r="402" spans="1:11" x14ac:dyDescent="0.25">
      <c r="A402" s="886"/>
      <c r="B402" s="887"/>
      <c r="C402" s="887"/>
      <c r="D402" s="887"/>
      <c r="E402" s="887"/>
      <c r="F402" s="888"/>
      <c r="G402" s="886"/>
      <c r="H402" s="887"/>
      <c r="I402" s="887"/>
      <c r="J402" s="887"/>
      <c r="K402" s="888"/>
    </row>
    <row r="403" spans="1:11" x14ac:dyDescent="0.25">
      <c r="A403" s="886"/>
      <c r="B403" s="887"/>
      <c r="C403" s="887"/>
      <c r="D403" s="887"/>
      <c r="E403" s="887"/>
      <c r="F403" s="888"/>
      <c r="G403" s="886"/>
      <c r="H403" s="887"/>
      <c r="I403" s="887"/>
      <c r="J403" s="887"/>
      <c r="K403" s="888"/>
    </row>
    <row r="404" spans="1:11" ht="15.75" thickBot="1" x14ac:dyDescent="0.3">
      <c r="A404" s="886"/>
      <c r="B404" s="887"/>
      <c r="C404" s="887"/>
      <c r="D404" s="887"/>
      <c r="E404" s="887"/>
      <c r="F404" s="888"/>
      <c r="G404" s="886"/>
      <c r="H404" s="887"/>
      <c r="I404" s="887"/>
      <c r="J404" s="887"/>
      <c r="K404" s="888"/>
    </row>
    <row r="405" spans="1:11" x14ac:dyDescent="0.25">
      <c r="A405" s="1014" t="s">
        <v>1283</v>
      </c>
      <c r="B405" s="1015"/>
      <c r="C405" s="1015"/>
      <c r="D405" s="1015"/>
      <c r="E405" s="1015"/>
      <c r="F405" s="1016"/>
      <c r="G405" s="1020" t="s">
        <v>1284</v>
      </c>
      <c r="H405" s="1021"/>
      <c r="I405" s="1021"/>
      <c r="J405" s="1021"/>
      <c r="K405" s="1022"/>
    </row>
    <row r="406" spans="1:11" ht="15.75" thickBot="1" x14ac:dyDescent="0.3">
      <c r="A406" s="1017"/>
      <c r="B406" s="1018"/>
      <c r="C406" s="1018"/>
      <c r="D406" s="1018"/>
      <c r="E406" s="1018"/>
      <c r="F406" s="1019"/>
      <c r="G406" s="1023"/>
      <c r="H406" s="1024"/>
      <c r="I406" s="1024"/>
      <c r="J406" s="1024"/>
      <c r="K406" s="1025"/>
    </row>
    <row r="407" spans="1:11" ht="15.75" hidden="1" thickBot="1" x14ac:dyDescent="0.3">
      <c r="A407" s="901" t="s">
        <v>504</v>
      </c>
      <c r="B407" s="902"/>
      <c r="C407" s="902"/>
      <c r="D407" s="902"/>
      <c r="E407" s="902"/>
      <c r="F407" s="903"/>
      <c r="G407" s="901" t="s">
        <v>505</v>
      </c>
      <c r="H407" s="902"/>
      <c r="I407" s="902"/>
      <c r="J407" s="902"/>
      <c r="K407" s="903"/>
    </row>
    <row r="408" spans="1:11" ht="15.75" hidden="1" thickBot="1" x14ac:dyDescent="0.3">
      <c r="A408" s="886"/>
      <c r="B408" s="887"/>
      <c r="C408" s="887"/>
      <c r="D408" s="887"/>
      <c r="E408" s="887"/>
      <c r="F408" s="888"/>
      <c r="G408" s="886"/>
      <c r="H408" s="887"/>
      <c r="I408" s="887"/>
      <c r="J408" s="887"/>
      <c r="K408" s="888"/>
    </row>
    <row r="409" spans="1:11" ht="15.75" hidden="1" thickBot="1" x14ac:dyDescent="0.3">
      <c r="A409" s="886"/>
      <c r="B409" s="887"/>
      <c r="C409" s="887"/>
      <c r="D409" s="887"/>
      <c r="E409" s="887"/>
      <c r="F409" s="888"/>
      <c r="G409" s="886"/>
      <c r="H409" s="887"/>
      <c r="I409" s="887"/>
      <c r="J409" s="887"/>
      <c r="K409" s="888"/>
    </row>
    <row r="410" spans="1:11" ht="15.75" hidden="1" thickBot="1" x14ac:dyDescent="0.3">
      <c r="A410" s="886"/>
      <c r="B410" s="887"/>
      <c r="C410" s="887"/>
      <c r="D410" s="887"/>
      <c r="E410" s="887"/>
      <c r="F410" s="888"/>
      <c r="G410" s="886"/>
      <c r="H410" s="887"/>
      <c r="I410" s="887"/>
      <c r="J410" s="887"/>
      <c r="K410" s="888"/>
    </row>
    <row r="411" spans="1:11" ht="15.75" hidden="1" thickBot="1" x14ac:dyDescent="0.3">
      <c r="A411" s="886"/>
      <c r="B411" s="887"/>
      <c r="C411" s="887"/>
      <c r="D411" s="887"/>
      <c r="E411" s="887"/>
      <c r="F411" s="888"/>
      <c r="G411" s="886"/>
      <c r="H411" s="887"/>
      <c r="I411" s="887"/>
      <c r="J411" s="887"/>
      <c r="K411" s="888"/>
    </row>
    <row r="412" spans="1:11" ht="15.75" hidden="1" thickBot="1" x14ac:dyDescent="0.3">
      <c r="A412" s="886"/>
      <c r="B412" s="887"/>
      <c r="C412" s="887"/>
      <c r="D412" s="887"/>
      <c r="E412" s="887"/>
      <c r="F412" s="888"/>
      <c r="G412" s="886"/>
      <c r="H412" s="887"/>
      <c r="I412" s="887"/>
      <c r="J412" s="887"/>
      <c r="K412" s="888"/>
    </row>
    <row r="413" spans="1:11" ht="15.75" hidden="1" thickBot="1" x14ac:dyDescent="0.3">
      <c r="A413" s="886"/>
      <c r="B413" s="887"/>
      <c r="C413" s="887"/>
      <c r="D413" s="887"/>
      <c r="E413" s="887"/>
      <c r="F413" s="888"/>
      <c r="G413" s="886"/>
      <c r="H413" s="887"/>
      <c r="I413" s="887"/>
      <c r="J413" s="887"/>
      <c r="K413" s="888"/>
    </row>
    <row r="414" spans="1:11" ht="15.75" hidden="1" thickBot="1" x14ac:dyDescent="0.3">
      <c r="A414" s="886"/>
      <c r="B414" s="887"/>
      <c r="C414" s="887"/>
      <c r="D414" s="887"/>
      <c r="E414" s="887"/>
      <c r="F414" s="888"/>
      <c r="G414" s="886"/>
      <c r="H414" s="887"/>
      <c r="I414" s="887"/>
      <c r="J414" s="887"/>
      <c r="K414" s="888"/>
    </row>
    <row r="415" spans="1:11" ht="15.75" hidden="1" thickBot="1" x14ac:dyDescent="0.3">
      <c r="A415" s="886"/>
      <c r="B415" s="887"/>
      <c r="C415" s="887"/>
      <c r="D415" s="887"/>
      <c r="E415" s="887"/>
      <c r="F415" s="888"/>
      <c r="G415" s="886"/>
      <c r="H415" s="887"/>
      <c r="I415" s="887"/>
      <c r="J415" s="887"/>
      <c r="K415" s="888"/>
    </row>
    <row r="416" spans="1:11" ht="15.75" hidden="1" thickBot="1" x14ac:dyDescent="0.3">
      <c r="A416" s="886"/>
      <c r="B416" s="887"/>
      <c r="C416" s="887"/>
      <c r="D416" s="887"/>
      <c r="E416" s="887"/>
      <c r="F416" s="888"/>
      <c r="G416" s="886"/>
      <c r="H416" s="887"/>
      <c r="I416" s="887"/>
      <c r="J416" s="887"/>
      <c r="K416" s="888"/>
    </row>
    <row r="417" spans="1:11" ht="15.75" hidden="1" thickBot="1" x14ac:dyDescent="0.3">
      <c r="A417" s="886"/>
      <c r="B417" s="887"/>
      <c r="C417" s="887"/>
      <c r="D417" s="887"/>
      <c r="E417" s="887"/>
      <c r="F417" s="888"/>
      <c r="G417" s="886"/>
      <c r="H417" s="887"/>
      <c r="I417" s="887"/>
      <c r="J417" s="887"/>
      <c r="K417" s="888"/>
    </row>
    <row r="418" spans="1:11" ht="15.75" hidden="1" thickBot="1" x14ac:dyDescent="0.3">
      <c r="A418" s="886"/>
      <c r="B418" s="887"/>
      <c r="C418" s="887"/>
      <c r="D418" s="887"/>
      <c r="E418" s="887"/>
      <c r="F418" s="888"/>
      <c r="G418" s="886"/>
      <c r="H418" s="887"/>
      <c r="I418" s="887"/>
      <c r="J418" s="887"/>
      <c r="K418" s="888"/>
    </row>
    <row r="419" spans="1:11" ht="15.75" hidden="1" thickBot="1" x14ac:dyDescent="0.3">
      <c r="A419" s="886"/>
      <c r="B419" s="887"/>
      <c r="C419" s="887"/>
      <c r="D419" s="887"/>
      <c r="E419" s="887"/>
      <c r="F419" s="888"/>
      <c r="G419" s="886"/>
      <c r="H419" s="887"/>
      <c r="I419" s="887"/>
      <c r="J419" s="887"/>
      <c r="K419" s="888"/>
    </row>
    <row r="420" spans="1:11" ht="15.75" hidden="1" thickBot="1" x14ac:dyDescent="0.3">
      <c r="A420" s="886"/>
      <c r="B420" s="887"/>
      <c r="C420" s="887"/>
      <c r="D420" s="887"/>
      <c r="E420" s="887"/>
      <c r="F420" s="888"/>
      <c r="G420" s="886"/>
      <c r="H420" s="887"/>
      <c r="I420" s="887"/>
      <c r="J420" s="887"/>
      <c r="K420" s="888"/>
    </row>
    <row r="421" spans="1:11" ht="15.75" hidden="1" thickBot="1" x14ac:dyDescent="0.3">
      <c r="A421" s="1020"/>
      <c r="B421" s="1021"/>
      <c r="C421" s="1021"/>
      <c r="D421" s="1021"/>
      <c r="E421" s="1021"/>
      <c r="F421" s="1022"/>
      <c r="G421" s="1020"/>
      <c r="H421" s="1021"/>
      <c r="I421" s="1021"/>
      <c r="J421" s="1021"/>
      <c r="K421" s="1022"/>
    </row>
    <row r="422" spans="1:11" ht="26.25" hidden="1" customHeight="1" thickBot="1" x14ac:dyDescent="0.3">
      <c r="A422" s="1023"/>
      <c r="B422" s="1024"/>
      <c r="C422" s="1024"/>
      <c r="D422" s="1024"/>
      <c r="E422" s="1024"/>
      <c r="F422" s="1025"/>
      <c r="G422" s="1023"/>
      <c r="H422" s="1024"/>
      <c r="I422" s="1024"/>
      <c r="J422" s="1024"/>
      <c r="K422" s="1025"/>
    </row>
    <row r="423" spans="1:11" x14ac:dyDescent="0.25">
      <c r="A423" s="901" t="s">
        <v>504</v>
      </c>
      <c r="B423" s="902"/>
      <c r="C423" s="902"/>
      <c r="D423" s="902"/>
      <c r="E423" s="902"/>
      <c r="F423" s="903"/>
      <c r="G423" s="901" t="s">
        <v>505</v>
      </c>
      <c r="H423" s="902"/>
      <c r="I423" s="902"/>
      <c r="J423" s="902"/>
      <c r="K423" s="903"/>
    </row>
    <row r="424" spans="1:11" x14ac:dyDescent="0.25">
      <c r="A424" s="886"/>
      <c r="B424" s="887"/>
      <c r="C424" s="887"/>
      <c r="D424" s="887"/>
      <c r="E424" s="887"/>
      <c r="F424" s="888"/>
      <c r="G424" s="886"/>
      <c r="H424" s="887"/>
      <c r="I424" s="887"/>
      <c r="J424" s="887"/>
      <c r="K424" s="888"/>
    </row>
    <row r="425" spans="1:11" x14ac:dyDescent="0.25">
      <c r="A425" s="886"/>
      <c r="B425" s="887"/>
      <c r="C425" s="887"/>
      <c r="D425" s="887"/>
      <c r="E425" s="887"/>
      <c r="F425" s="888"/>
      <c r="G425" s="886"/>
      <c r="H425" s="887"/>
      <c r="I425" s="887"/>
      <c r="J425" s="887"/>
      <c r="K425" s="888"/>
    </row>
    <row r="426" spans="1:11" x14ac:dyDescent="0.25">
      <c r="A426" s="886"/>
      <c r="B426" s="887"/>
      <c r="C426" s="887"/>
      <c r="D426" s="887"/>
      <c r="E426" s="887"/>
      <c r="F426" s="888"/>
      <c r="G426" s="886"/>
      <c r="H426" s="887"/>
      <c r="I426" s="887"/>
      <c r="J426" s="887"/>
      <c r="K426" s="888"/>
    </row>
    <row r="427" spans="1:11" x14ac:dyDescent="0.25">
      <c r="A427" s="886"/>
      <c r="B427" s="887"/>
      <c r="C427" s="887"/>
      <c r="D427" s="887"/>
      <c r="E427" s="887"/>
      <c r="F427" s="888"/>
      <c r="G427" s="886"/>
      <c r="H427" s="887"/>
      <c r="I427" s="887"/>
      <c r="J427" s="887"/>
      <c r="K427" s="888"/>
    </row>
    <row r="428" spans="1:11" x14ac:dyDescent="0.25">
      <c r="A428" s="886"/>
      <c r="B428" s="887"/>
      <c r="C428" s="887"/>
      <c r="D428" s="887"/>
      <c r="E428" s="887"/>
      <c r="F428" s="888"/>
      <c r="G428" s="886"/>
      <c r="H428" s="887"/>
      <c r="I428" s="887"/>
      <c r="J428" s="887"/>
      <c r="K428" s="888"/>
    </row>
    <row r="429" spans="1:11" x14ac:dyDescent="0.25">
      <c r="A429" s="886"/>
      <c r="B429" s="887"/>
      <c r="C429" s="887"/>
      <c r="D429" s="887"/>
      <c r="E429" s="887"/>
      <c r="F429" s="888"/>
      <c r="G429" s="886"/>
      <c r="H429" s="887"/>
      <c r="I429" s="887"/>
      <c r="J429" s="887"/>
      <c r="K429" s="888"/>
    </row>
    <row r="430" spans="1:11" x14ac:dyDescent="0.25">
      <c r="A430" s="886"/>
      <c r="B430" s="887"/>
      <c r="C430" s="887"/>
      <c r="D430" s="887"/>
      <c r="E430" s="887"/>
      <c r="F430" s="888"/>
      <c r="G430" s="886"/>
      <c r="H430" s="887"/>
      <c r="I430" s="887"/>
      <c r="J430" s="887"/>
      <c r="K430" s="888"/>
    </row>
    <row r="431" spans="1:11" x14ac:dyDescent="0.25">
      <c r="A431" s="886"/>
      <c r="B431" s="887"/>
      <c r="C431" s="887"/>
      <c r="D431" s="887"/>
      <c r="E431" s="887"/>
      <c r="F431" s="888"/>
      <c r="G431" s="886"/>
      <c r="H431" s="887"/>
      <c r="I431" s="887"/>
      <c r="J431" s="887"/>
      <c r="K431" s="888"/>
    </row>
    <row r="432" spans="1:11" x14ac:dyDescent="0.25">
      <c r="A432" s="886"/>
      <c r="B432" s="887"/>
      <c r="C432" s="887"/>
      <c r="D432" s="887"/>
      <c r="E432" s="887"/>
      <c r="F432" s="888"/>
      <c r="G432" s="886"/>
      <c r="H432" s="887"/>
      <c r="I432" s="887"/>
      <c r="J432" s="887"/>
      <c r="K432" s="888"/>
    </row>
    <row r="433" spans="1:11" x14ac:dyDescent="0.25">
      <c r="A433" s="886"/>
      <c r="B433" s="887"/>
      <c r="C433" s="887"/>
      <c r="D433" s="887"/>
      <c r="E433" s="887"/>
      <c r="F433" s="888"/>
      <c r="G433" s="886"/>
      <c r="H433" s="887"/>
      <c r="I433" s="887"/>
      <c r="J433" s="887"/>
      <c r="K433" s="888"/>
    </row>
    <row r="434" spans="1:11" x14ac:dyDescent="0.25">
      <c r="A434" s="886"/>
      <c r="B434" s="887"/>
      <c r="C434" s="887"/>
      <c r="D434" s="887"/>
      <c r="E434" s="887"/>
      <c r="F434" s="888"/>
      <c r="G434" s="886"/>
      <c r="H434" s="887"/>
      <c r="I434" s="887"/>
      <c r="J434" s="887"/>
      <c r="K434" s="888"/>
    </row>
    <row r="435" spans="1:11" x14ac:dyDescent="0.25">
      <c r="A435" s="886"/>
      <c r="B435" s="887"/>
      <c r="C435" s="887"/>
      <c r="D435" s="887"/>
      <c r="E435" s="887"/>
      <c r="F435" s="888"/>
      <c r="G435" s="886"/>
      <c r="H435" s="887"/>
      <c r="I435" s="887"/>
      <c r="J435" s="887"/>
      <c r="K435" s="888"/>
    </row>
    <row r="436" spans="1:11" ht="15.75" thickBot="1" x14ac:dyDescent="0.3">
      <c r="A436" s="886"/>
      <c r="B436" s="887"/>
      <c r="C436" s="887"/>
      <c r="D436" s="887"/>
      <c r="E436" s="887"/>
      <c r="F436" s="888"/>
      <c r="G436" s="886"/>
      <c r="H436" s="887"/>
      <c r="I436" s="887"/>
      <c r="J436" s="887"/>
      <c r="K436" s="888"/>
    </row>
    <row r="437" spans="1:11" x14ac:dyDescent="0.25">
      <c r="A437" s="1020" t="s">
        <v>1285</v>
      </c>
      <c r="B437" s="1021"/>
      <c r="C437" s="1021"/>
      <c r="D437" s="1021"/>
      <c r="E437" s="1021"/>
      <c r="F437" s="1022"/>
      <c r="G437" s="1020" t="s">
        <v>1286</v>
      </c>
      <c r="H437" s="1021"/>
      <c r="I437" s="1021"/>
      <c r="J437" s="1021"/>
      <c r="K437" s="1022"/>
    </row>
    <row r="438" spans="1:11" ht="25.5" customHeight="1" thickBot="1" x14ac:dyDescent="0.3">
      <c r="A438" s="1023"/>
      <c r="B438" s="1024"/>
      <c r="C438" s="1024"/>
      <c r="D438" s="1024"/>
      <c r="E438" s="1024"/>
      <c r="F438" s="1025"/>
      <c r="G438" s="1023"/>
      <c r="H438" s="1024"/>
      <c r="I438" s="1024"/>
      <c r="J438" s="1024"/>
      <c r="K438" s="1025"/>
    </row>
    <row r="439" spans="1:11" x14ac:dyDescent="0.25">
      <c r="A439" s="901" t="s">
        <v>504</v>
      </c>
      <c r="B439" s="902"/>
      <c r="C439" s="902"/>
      <c r="D439" s="902"/>
      <c r="E439" s="902"/>
      <c r="F439" s="903"/>
      <c r="G439" s="901" t="s">
        <v>505</v>
      </c>
      <c r="H439" s="902"/>
      <c r="I439" s="902"/>
      <c r="J439" s="902"/>
      <c r="K439" s="903"/>
    </row>
    <row r="440" spans="1:11" x14ac:dyDescent="0.25">
      <c r="A440" s="886"/>
      <c r="B440" s="887"/>
      <c r="C440" s="887"/>
      <c r="D440" s="887"/>
      <c r="E440" s="887"/>
      <c r="F440" s="888"/>
      <c r="G440" s="886"/>
      <c r="H440" s="887"/>
      <c r="I440" s="887"/>
      <c r="J440" s="887"/>
      <c r="K440" s="888"/>
    </row>
    <row r="441" spans="1:11" x14ac:dyDescent="0.25">
      <c r="A441" s="886"/>
      <c r="B441" s="887"/>
      <c r="C441" s="887"/>
      <c r="D441" s="887"/>
      <c r="E441" s="887"/>
      <c r="F441" s="888"/>
      <c r="G441" s="886"/>
      <c r="H441" s="887"/>
      <c r="I441" s="887"/>
      <c r="J441" s="887"/>
      <c r="K441" s="888"/>
    </row>
    <row r="442" spans="1:11" x14ac:dyDescent="0.25">
      <c r="A442" s="886"/>
      <c r="B442" s="887"/>
      <c r="C442" s="887"/>
      <c r="D442" s="887"/>
      <c r="E442" s="887"/>
      <c r="F442" s="888"/>
      <c r="G442" s="886"/>
      <c r="H442" s="887"/>
      <c r="I442" s="887"/>
      <c r="J442" s="887"/>
      <c r="K442" s="888"/>
    </row>
    <row r="443" spans="1:11" x14ac:dyDescent="0.25">
      <c r="A443" s="886"/>
      <c r="B443" s="887"/>
      <c r="C443" s="887"/>
      <c r="D443" s="887"/>
      <c r="E443" s="887"/>
      <c r="F443" s="888"/>
      <c r="G443" s="886"/>
      <c r="H443" s="887"/>
      <c r="I443" s="887"/>
      <c r="J443" s="887"/>
      <c r="K443" s="888"/>
    </row>
    <row r="444" spans="1:11" x14ac:dyDescent="0.25">
      <c r="A444" s="886"/>
      <c r="B444" s="887"/>
      <c r="C444" s="887"/>
      <c r="D444" s="887"/>
      <c r="E444" s="887"/>
      <c r="F444" s="888"/>
      <c r="G444" s="886"/>
      <c r="H444" s="887"/>
      <c r="I444" s="887"/>
      <c r="J444" s="887"/>
      <c r="K444" s="888"/>
    </row>
    <row r="445" spans="1:11" x14ac:dyDescent="0.25">
      <c r="A445" s="886"/>
      <c r="B445" s="887"/>
      <c r="C445" s="887"/>
      <c r="D445" s="887"/>
      <c r="E445" s="887"/>
      <c r="F445" s="888"/>
      <c r="G445" s="886"/>
      <c r="H445" s="887"/>
      <c r="I445" s="887"/>
      <c r="J445" s="887"/>
      <c r="K445" s="888"/>
    </row>
    <row r="446" spans="1:11" x14ac:dyDescent="0.25">
      <c r="A446" s="886"/>
      <c r="B446" s="887"/>
      <c r="C446" s="887"/>
      <c r="D446" s="887"/>
      <c r="E446" s="887"/>
      <c r="F446" s="888"/>
      <c r="G446" s="886"/>
      <c r="H446" s="887"/>
      <c r="I446" s="887"/>
      <c r="J446" s="887"/>
      <c r="K446" s="888"/>
    </row>
    <row r="447" spans="1:11" x14ac:dyDescent="0.25">
      <c r="A447" s="886"/>
      <c r="B447" s="887"/>
      <c r="C447" s="887"/>
      <c r="D447" s="887"/>
      <c r="E447" s="887"/>
      <c r="F447" s="888"/>
      <c r="G447" s="886"/>
      <c r="H447" s="887"/>
      <c r="I447" s="887"/>
      <c r="J447" s="887"/>
      <c r="K447" s="888"/>
    </row>
    <row r="448" spans="1:11" x14ac:dyDescent="0.25">
      <c r="A448" s="886"/>
      <c r="B448" s="887"/>
      <c r="C448" s="887"/>
      <c r="D448" s="887"/>
      <c r="E448" s="887"/>
      <c r="F448" s="888"/>
      <c r="G448" s="886"/>
      <c r="H448" s="887"/>
      <c r="I448" s="887"/>
      <c r="J448" s="887"/>
      <c r="K448" s="888"/>
    </row>
    <row r="449" spans="1:11" x14ac:dyDescent="0.25">
      <c r="A449" s="886"/>
      <c r="B449" s="887"/>
      <c r="C449" s="887"/>
      <c r="D449" s="887"/>
      <c r="E449" s="887"/>
      <c r="F449" s="888"/>
      <c r="G449" s="886"/>
      <c r="H449" s="887"/>
      <c r="I449" s="887"/>
      <c r="J449" s="887"/>
      <c r="K449" s="888"/>
    </row>
    <row r="450" spans="1:11" x14ac:dyDescent="0.25">
      <c r="A450" s="886"/>
      <c r="B450" s="887"/>
      <c r="C450" s="887"/>
      <c r="D450" s="887"/>
      <c r="E450" s="887"/>
      <c r="F450" s="888"/>
      <c r="G450" s="886"/>
      <c r="H450" s="887"/>
      <c r="I450" s="887"/>
      <c r="J450" s="887"/>
      <c r="K450" s="888"/>
    </row>
    <row r="451" spans="1:11" x14ac:dyDescent="0.25">
      <c r="A451" s="886"/>
      <c r="B451" s="887"/>
      <c r="C451" s="887"/>
      <c r="D451" s="887"/>
      <c r="E451" s="887"/>
      <c r="F451" s="888"/>
      <c r="G451" s="886"/>
      <c r="H451" s="887"/>
      <c r="I451" s="887"/>
      <c r="J451" s="887"/>
      <c r="K451" s="888"/>
    </row>
    <row r="452" spans="1:11" ht="15.75" thickBot="1" x14ac:dyDescent="0.3">
      <c r="A452" s="886"/>
      <c r="B452" s="887"/>
      <c r="C452" s="887"/>
      <c r="D452" s="887"/>
      <c r="E452" s="887"/>
      <c r="F452" s="888"/>
      <c r="G452" s="886"/>
      <c r="H452" s="887"/>
      <c r="I452" s="887"/>
      <c r="J452" s="887"/>
      <c r="K452" s="888"/>
    </row>
    <row r="453" spans="1:11" x14ac:dyDescent="0.25">
      <c r="A453" s="1020" t="s">
        <v>1287</v>
      </c>
      <c r="B453" s="1021"/>
      <c r="C453" s="1021"/>
      <c r="D453" s="1021"/>
      <c r="E453" s="1021"/>
      <c r="F453" s="1022"/>
      <c r="G453" s="1020" t="s">
        <v>1288</v>
      </c>
      <c r="H453" s="1021"/>
      <c r="I453" s="1021"/>
      <c r="J453" s="1021"/>
      <c r="K453" s="1022"/>
    </row>
    <row r="454" spans="1:11" ht="15.75" thickBot="1" x14ac:dyDescent="0.3">
      <c r="A454" s="1023"/>
      <c r="B454" s="1024"/>
      <c r="C454" s="1024"/>
      <c r="D454" s="1024"/>
      <c r="E454" s="1024"/>
      <c r="F454" s="1025"/>
      <c r="G454" s="1023"/>
      <c r="H454" s="1024"/>
      <c r="I454" s="1024"/>
      <c r="J454" s="1024"/>
      <c r="K454" s="1025"/>
    </row>
    <row r="455" spans="1:11" ht="15.75" hidden="1" thickBot="1" x14ac:dyDescent="0.3">
      <c r="A455" s="901" t="s">
        <v>504</v>
      </c>
      <c r="B455" s="902"/>
      <c r="C455" s="902"/>
      <c r="D455" s="902"/>
      <c r="E455" s="902"/>
      <c r="F455" s="903"/>
      <c r="G455" s="901" t="s">
        <v>505</v>
      </c>
      <c r="H455" s="902"/>
      <c r="I455" s="902"/>
      <c r="J455" s="902"/>
      <c r="K455" s="903"/>
    </row>
    <row r="456" spans="1:11" ht="15.75" hidden="1" thickBot="1" x14ac:dyDescent="0.3">
      <c r="A456" s="886"/>
      <c r="B456" s="887"/>
      <c r="C456" s="887"/>
      <c r="D456" s="887"/>
      <c r="E456" s="887"/>
      <c r="F456" s="888"/>
      <c r="G456" s="886"/>
      <c r="H456" s="887"/>
      <c r="I456" s="887"/>
      <c r="J456" s="887"/>
      <c r="K456" s="888"/>
    </row>
    <row r="457" spans="1:11" ht="15.75" hidden="1" thickBot="1" x14ac:dyDescent="0.3">
      <c r="A457" s="886"/>
      <c r="B457" s="887"/>
      <c r="C457" s="887"/>
      <c r="D457" s="887"/>
      <c r="E457" s="887"/>
      <c r="F457" s="888"/>
      <c r="G457" s="886"/>
      <c r="H457" s="887"/>
      <c r="I457" s="887"/>
      <c r="J457" s="887"/>
      <c r="K457" s="888"/>
    </row>
    <row r="458" spans="1:11" ht="15.75" hidden="1" thickBot="1" x14ac:dyDescent="0.3">
      <c r="A458" s="886"/>
      <c r="B458" s="887"/>
      <c r="C458" s="887"/>
      <c r="D458" s="887"/>
      <c r="E458" s="887"/>
      <c r="F458" s="888"/>
      <c r="G458" s="886"/>
      <c r="H458" s="887"/>
      <c r="I458" s="887"/>
      <c r="J458" s="887"/>
      <c r="K458" s="888"/>
    </row>
    <row r="459" spans="1:11" ht="15.75" hidden="1" thickBot="1" x14ac:dyDescent="0.3">
      <c r="A459" s="886"/>
      <c r="B459" s="887"/>
      <c r="C459" s="887"/>
      <c r="D459" s="887"/>
      <c r="E459" s="887"/>
      <c r="F459" s="888"/>
      <c r="G459" s="886"/>
      <c r="H459" s="887"/>
      <c r="I459" s="887"/>
      <c r="J459" s="887"/>
      <c r="K459" s="888"/>
    </row>
    <row r="460" spans="1:11" ht="15.75" hidden="1" thickBot="1" x14ac:dyDescent="0.3">
      <c r="A460" s="886"/>
      <c r="B460" s="887"/>
      <c r="C460" s="887"/>
      <c r="D460" s="887"/>
      <c r="E460" s="887"/>
      <c r="F460" s="888"/>
      <c r="G460" s="886"/>
      <c r="H460" s="887"/>
      <c r="I460" s="887"/>
      <c r="J460" s="887"/>
      <c r="K460" s="888"/>
    </row>
    <row r="461" spans="1:11" ht="15.75" hidden="1" thickBot="1" x14ac:dyDescent="0.3">
      <c r="A461" s="886"/>
      <c r="B461" s="887"/>
      <c r="C461" s="887"/>
      <c r="D461" s="887"/>
      <c r="E461" s="887"/>
      <c r="F461" s="888"/>
      <c r="G461" s="886"/>
      <c r="H461" s="887"/>
      <c r="I461" s="887"/>
      <c r="J461" s="887"/>
      <c r="K461" s="888"/>
    </row>
    <row r="462" spans="1:11" ht="15.75" hidden="1" thickBot="1" x14ac:dyDescent="0.3">
      <c r="A462" s="886"/>
      <c r="B462" s="887"/>
      <c r="C462" s="887"/>
      <c r="D462" s="887"/>
      <c r="E462" s="887"/>
      <c r="F462" s="888"/>
      <c r="G462" s="886"/>
      <c r="H462" s="887"/>
      <c r="I462" s="887"/>
      <c r="J462" s="887"/>
      <c r="K462" s="888"/>
    </row>
    <row r="463" spans="1:11" ht="15.75" hidden="1" thickBot="1" x14ac:dyDescent="0.3">
      <c r="A463" s="886"/>
      <c r="B463" s="887"/>
      <c r="C463" s="887"/>
      <c r="D463" s="887"/>
      <c r="E463" s="887"/>
      <c r="F463" s="888"/>
      <c r="G463" s="886"/>
      <c r="H463" s="887"/>
      <c r="I463" s="887"/>
      <c r="J463" s="887"/>
      <c r="K463" s="888"/>
    </row>
    <row r="464" spans="1:11" ht="15.75" hidden="1" thickBot="1" x14ac:dyDescent="0.3">
      <c r="A464" s="886"/>
      <c r="B464" s="887"/>
      <c r="C464" s="887"/>
      <c r="D464" s="887"/>
      <c r="E464" s="887"/>
      <c r="F464" s="888"/>
      <c r="G464" s="886"/>
      <c r="H464" s="887"/>
      <c r="I464" s="887"/>
      <c r="J464" s="887"/>
      <c r="K464" s="888"/>
    </row>
    <row r="465" spans="1:11" ht="15.75" hidden="1" thickBot="1" x14ac:dyDescent="0.3">
      <c r="A465" s="886"/>
      <c r="B465" s="887"/>
      <c r="C465" s="887"/>
      <c r="D465" s="887"/>
      <c r="E465" s="887"/>
      <c r="F465" s="888"/>
      <c r="G465" s="886"/>
      <c r="H465" s="887"/>
      <c r="I465" s="887"/>
      <c r="J465" s="887"/>
      <c r="K465" s="888"/>
    </row>
    <row r="466" spans="1:11" ht="15.75" hidden="1" thickBot="1" x14ac:dyDescent="0.3">
      <c r="A466" s="886"/>
      <c r="B466" s="887"/>
      <c r="C466" s="887"/>
      <c r="D466" s="887"/>
      <c r="E466" s="887"/>
      <c r="F466" s="888"/>
      <c r="G466" s="886"/>
      <c r="H466" s="887"/>
      <c r="I466" s="887"/>
      <c r="J466" s="887"/>
      <c r="K466" s="888"/>
    </row>
    <row r="467" spans="1:11" ht="15.75" hidden="1" thickBot="1" x14ac:dyDescent="0.3">
      <c r="A467" s="886"/>
      <c r="B467" s="887"/>
      <c r="C467" s="887"/>
      <c r="D467" s="887"/>
      <c r="E467" s="887"/>
      <c r="F467" s="888"/>
      <c r="G467" s="886"/>
      <c r="H467" s="887"/>
      <c r="I467" s="887"/>
      <c r="J467" s="887"/>
      <c r="K467" s="888"/>
    </row>
    <row r="468" spans="1:11" ht="15.75" hidden="1" thickBot="1" x14ac:dyDescent="0.3">
      <c r="A468" s="886"/>
      <c r="B468" s="887"/>
      <c r="C468" s="887"/>
      <c r="D468" s="887"/>
      <c r="E468" s="887"/>
      <c r="F468" s="888"/>
      <c r="G468" s="886"/>
      <c r="H468" s="887"/>
      <c r="I468" s="887"/>
      <c r="J468" s="887"/>
      <c r="K468" s="888"/>
    </row>
    <row r="469" spans="1:11" ht="15.75" hidden="1" thickBot="1" x14ac:dyDescent="0.3">
      <c r="A469" s="1020" t="s">
        <v>613</v>
      </c>
      <c r="B469" s="1021"/>
      <c r="C469" s="1021"/>
      <c r="D469" s="1021"/>
      <c r="E469" s="1021"/>
      <c r="F469" s="1022"/>
      <c r="G469" s="1020" t="s">
        <v>739</v>
      </c>
      <c r="H469" s="1021"/>
      <c r="I469" s="1021"/>
      <c r="J469" s="1021"/>
      <c r="K469" s="1022"/>
    </row>
    <row r="470" spans="1:11" ht="15.75" hidden="1" thickBot="1" x14ac:dyDescent="0.3">
      <c r="A470" s="1023"/>
      <c r="B470" s="1024"/>
      <c r="C470" s="1024"/>
      <c r="D470" s="1024"/>
      <c r="E470" s="1024"/>
      <c r="F470" s="1025"/>
      <c r="G470" s="1023"/>
      <c r="H470" s="1024"/>
      <c r="I470" s="1024"/>
      <c r="J470" s="1024"/>
      <c r="K470" s="1025"/>
    </row>
    <row r="471" spans="1:11" x14ac:dyDescent="0.25">
      <c r="A471" s="901" t="s">
        <v>504</v>
      </c>
      <c r="B471" s="902"/>
      <c r="C471" s="902"/>
      <c r="D471" s="902"/>
      <c r="E471" s="902"/>
      <c r="F471" s="903"/>
      <c r="G471" s="901" t="s">
        <v>505</v>
      </c>
      <c r="H471" s="902"/>
      <c r="I471" s="902"/>
      <c r="J471" s="902"/>
      <c r="K471" s="903"/>
    </row>
    <row r="472" spans="1:11" x14ac:dyDescent="0.25">
      <c r="A472" s="886"/>
      <c r="B472" s="887"/>
      <c r="C472" s="887"/>
      <c r="D472" s="887"/>
      <c r="E472" s="887"/>
      <c r="F472" s="888"/>
      <c r="G472" s="886"/>
      <c r="H472" s="887"/>
      <c r="I472" s="887"/>
      <c r="J472" s="887"/>
      <c r="K472" s="888"/>
    </row>
    <row r="473" spans="1:11" x14ac:dyDescent="0.25">
      <c r="A473" s="886"/>
      <c r="B473" s="887"/>
      <c r="C473" s="887"/>
      <c r="D473" s="887"/>
      <c r="E473" s="887"/>
      <c r="F473" s="888"/>
      <c r="G473" s="886"/>
      <c r="H473" s="887"/>
      <c r="I473" s="887"/>
      <c r="J473" s="887"/>
      <c r="K473" s="888"/>
    </row>
    <row r="474" spans="1:11" x14ac:dyDescent="0.25">
      <c r="A474" s="886"/>
      <c r="B474" s="887"/>
      <c r="C474" s="887"/>
      <c r="D474" s="887"/>
      <c r="E474" s="887"/>
      <c r="F474" s="888"/>
      <c r="G474" s="886"/>
      <c r="H474" s="887"/>
      <c r="I474" s="887"/>
      <c r="J474" s="887"/>
      <c r="K474" s="888"/>
    </row>
    <row r="475" spans="1:11" x14ac:dyDescent="0.25">
      <c r="A475" s="886"/>
      <c r="B475" s="887"/>
      <c r="C475" s="887"/>
      <c r="D475" s="887"/>
      <c r="E475" s="887"/>
      <c r="F475" s="888"/>
      <c r="G475" s="886"/>
      <c r="H475" s="887"/>
      <c r="I475" s="887"/>
      <c r="J475" s="887"/>
      <c r="K475" s="888"/>
    </row>
    <row r="476" spans="1:11" x14ac:dyDescent="0.25">
      <c r="A476" s="886"/>
      <c r="B476" s="887"/>
      <c r="C476" s="887"/>
      <c r="D476" s="887"/>
      <c r="E476" s="887"/>
      <c r="F476" s="888"/>
      <c r="G476" s="886"/>
      <c r="H476" s="887"/>
      <c r="I476" s="887"/>
      <c r="J476" s="887"/>
      <c r="K476" s="888"/>
    </row>
    <row r="477" spans="1:11" x14ac:dyDescent="0.25">
      <c r="A477" s="886"/>
      <c r="B477" s="887"/>
      <c r="C477" s="887"/>
      <c r="D477" s="887"/>
      <c r="E477" s="887"/>
      <c r="F477" s="888"/>
      <c r="G477" s="886"/>
      <c r="H477" s="887"/>
      <c r="I477" s="887"/>
      <c r="J477" s="887"/>
      <c r="K477" s="888"/>
    </row>
    <row r="478" spans="1:11" x14ac:dyDescent="0.25">
      <c r="A478" s="886"/>
      <c r="B478" s="887"/>
      <c r="C478" s="887"/>
      <c r="D478" s="887"/>
      <c r="E478" s="887"/>
      <c r="F478" s="888"/>
      <c r="G478" s="886"/>
      <c r="H478" s="887"/>
      <c r="I478" s="887"/>
      <c r="J478" s="887"/>
      <c r="K478" s="888"/>
    </row>
    <row r="479" spans="1:11" x14ac:dyDescent="0.25">
      <c r="A479" s="886"/>
      <c r="B479" s="887"/>
      <c r="C479" s="887"/>
      <c r="D479" s="887"/>
      <c r="E479" s="887"/>
      <c r="F479" s="888"/>
      <c r="G479" s="886"/>
      <c r="H479" s="887"/>
      <c r="I479" s="887"/>
      <c r="J479" s="887"/>
      <c r="K479" s="888"/>
    </row>
    <row r="480" spans="1:11" x14ac:dyDescent="0.25">
      <c r="A480" s="886"/>
      <c r="B480" s="887"/>
      <c r="C480" s="887"/>
      <c r="D480" s="887"/>
      <c r="E480" s="887"/>
      <c r="F480" s="888"/>
      <c r="G480" s="886"/>
      <c r="H480" s="887"/>
      <c r="I480" s="887"/>
      <c r="J480" s="887"/>
      <c r="K480" s="888"/>
    </row>
    <row r="481" spans="1:11" x14ac:dyDescent="0.25">
      <c r="A481" s="886"/>
      <c r="B481" s="887"/>
      <c r="C481" s="887"/>
      <c r="D481" s="887"/>
      <c r="E481" s="887"/>
      <c r="F481" s="888"/>
      <c r="G481" s="886"/>
      <c r="H481" s="887"/>
      <c r="I481" s="887"/>
      <c r="J481" s="887"/>
      <c r="K481" s="888"/>
    </row>
    <row r="482" spans="1:11" x14ac:dyDescent="0.25">
      <c r="A482" s="886"/>
      <c r="B482" s="887"/>
      <c r="C482" s="887"/>
      <c r="D482" s="887"/>
      <c r="E482" s="887"/>
      <c r="F482" s="888"/>
      <c r="G482" s="886"/>
      <c r="H482" s="887"/>
      <c r="I482" s="887"/>
      <c r="J482" s="887"/>
      <c r="K482" s="888"/>
    </row>
    <row r="483" spans="1:11" x14ac:dyDescent="0.25">
      <c r="A483" s="886"/>
      <c r="B483" s="887"/>
      <c r="C483" s="887"/>
      <c r="D483" s="887"/>
      <c r="E483" s="887"/>
      <c r="F483" s="888"/>
      <c r="G483" s="886"/>
      <c r="H483" s="887"/>
      <c r="I483" s="887"/>
      <c r="J483" s="887"/>
      <c r="K483" s="888"/>
    </row>
    <row r="484" spans="1:11" ht="15.75" thickBot="1" x14ac:dyDescent="0.3">
      <c r="A484" s="886"/>
      <c r="B484" s="887"/>
      <c r="C484" s="887"/>
      <c r="D484" s="887"/>
      <c r="E484" s="887"/>
      <c r="F484" s="888"/>
      <c r="G484" s="886"/>
      <c r="H484" s="887"/>
      <c r="I484" s="887"/>
      <c r="J484" s="887"/>
      <c r="K484" s="888"/>
    </row>
    <row r="485" spans="1:11" x14ac:dyDescent="0.25">
      <c r="A485" s="1020" t="s">
        <v>783</v>
      </c>
      <c r="B485" s="1021"/>
      <c r="C485" s="1021"/>
      <c r="D485" s="1021"/>
      <c r="E485" s="1021"/>
      <c r="F485" s="1022"/>
      <c r="G485" s="1020" t="s">
        <v>784</v>
      </c>
      <c r="H485" s="1021"/>
      <c r="I485" s="1021"/>
      <c r="J485" s="1021"/>
      <c r="K485" s="1022"/>
    </row>
    <row r="486" spans="1:11" ht="15.75" thickBot="1" x14ac:dyDescent="0.3">
      <c r="A486" s="1023"/>
      <c r="B486" s="1024"/>
      <c r="C486" s="1024"/>
      <c r="D486" s="1024"/>
      <c r="E486" s="1024"/>
      <c r="F486" s="1025"/>
      <c r="G486" s="1023"/>
      <c r="H486" s="1024"/>
      <c r="I486" s="1024"/>
      <c r="J486" s="1024"/>
      <c r="K486" s="1025"/>
    </row>
    <row r="487" spans="1:11" x14ac:dyDescent="0.25">
      <c r="A487" s="901" t="s">
        <v>504</v>
      </c>
      <c r="B487" s="902"/>
      <c r="C487" s="902"/>
      <c r="D487" s="902"/>
      <c r="E487" s="902"/>
      <c r="F487" s="903"/>
      <c r="G487" s="901" t="s">
        <v>505</v>
      </c>
      <c r="H487" s="902"/>
      <c r="I487" s="902"/>
      <c r="J487" s="902"/>
      <c r="K487" s="903"/>
    </row>
    <row r="488" spans="1:11" x14ac:dyDescent="0.25">
      <c r="A488" s="886"/>
      <c r="B488" s="887"/>
      <c r="C488" s="887"/>
      <c r="D488" s="887"/>
      <c r="E488" s="887"/>
      <c r="F488" s="888"/>
      <c r="G488" s="886"/>
      <c r="H488" s="887"/>
      <c r="I488" s="887"/>
      <c r="J488" s="887"/>
      <c r="K488" s="888"/>
    </row>
    <row r="489" spans="1:11" x14ac:dyDescent="0.25">
      <c r="A489" s="886"/>
      <c r="B489" s="887"/>
      <c r="C489" s="887"/>
      <c r="D489" s="887"/>
      <c r="E489" s="887"/>
      <c r="F489" s="888"/>
      <c r="G489" s="886"/>
      <c r="H489" s="887"/>
      <c r="I489" s="887"/>
      <c r="J489" s="887"/>
      <c r="K489" s="888"/>
    </row>
    <row r="490" spans="1:11" x14ac:dyDescent="0.25">
      <c r="A490" s="886"/>
      <c r="B490" s="887"/>
      <c r="C490" s="887"/>
      <c r="D490" s="887"/>
      <c r="E490" s="887"/>
      <c r="F490" s="888"/>
      <c r="G490" s="886"/>
      <c r="H490" s="887"/>
      <c r="I490" s="887"/>
      <c r="J490" s="887"/>
      <c r="K490" s="888"/>
    </row>
    <row r="491" spans="1:11" x14ac:dyDescent="0.25">
      <c r="A491" s="886"/>
      <c r="B491" s="887"/>
      <c r="C491" s="887"/>
      <c r="D491" s="887"/>
      <c r="E491" s="887"/>
      <c r="F491" s="888"/>
      <c r="G491" s="886"/>
      <c r="H491" s="887"/>
      <c r="I491" s="887"/>
      <c r="J491" s="887"/>
      <c r="K491" s="888"/>
    </row>
    <row r="492" spans="1:11" x14ac:dyDescent="0.25">
      <c r="A492" s="886"/>
      <c r="B492" s="887"/>
      <c r="C492" s="887"/>
      <c r="D492" s="887"/>
      <c r="E492" s="887"/>
      <c r="F492" s="888"/>
      <c r="G492" s="886"/>
      <c r="H492" s="887"/>
      <c r="I492" s="887"/>
      <c r="J492" s="887"/>
      <c r="K492" s="888"/>
    </row>
    <row r="493" spans="1:11" x14ac:dyDescent="0.25">
      <c r="A493" s="886"/>
      <c r="B493" s="887"/>
      <c r="C493" s="887"/>
      <c r="D493" s="887"/>
      <c r="E493" s="887"/>
      <c r="F493" s="888"/>
      <c r="G493" s="886"/>
      <c r="H493" s="887"/>
      <c r="I493" s="887"/>
      <c r="J493" s="887"/>
      <c r="K493" s="888"/>
    </row>
    <row r="494" spans="1:11" x14ac:dyDescent="0.25">
      <c r="A494" s="886"/>
      <c r="B494" s="887"/>
      <c r="C494" s="887"/>
      <c r="D494" s="887"/>
      <c r="E494" s="887"/>
      <c r="F494" s="888"/>
      <c r="G494" s="886"/>
      <c r="H494" s="887"/>
      <c r="I494" s="887"/>
      <c r="J494" s="887"/>
      <c r="K494" s="888"/>
    </row>
    <row r="495" spans="1:11" x14ac:dyDescent="0.25">
      <c r="A495" s="886"/>
      <c r="B495" s="887"/>
      <c r="C495" s="887"/>
      <c r="D495" s="887"/>
      <c r="E495" s="887"/>
      <c r="F495" s="888"/>
      <c r="G495" s="886"/>
      <c r="H495" s="887"/>
      <c r="I495" s="887"/>
      <c r="J495" s="887"/>
      <c r="K495" s="888"/>
    </row>
    <row r="496" spans="1:11" x14ac:dyDescent="0.25">
      <c r="A496" s="886"/>
      <c r="B496" s="887"/>
      <c r="C496" s="887"/>
      <c r="D496" s="887"/>
      <c r="E496" s="887"/>
      <c r="F496" s="888"/>
      <c r="G496" s="886"/>
      <c r="H496" s="887"/>
      <c r="I496" s="887"/>
      <c r="J496" s="887"/>
      <c r="K496" s="888"/>
    </row>
    <row r="497" spans="1:11" x14ac:dyDescent="0.25">
      <c r="A497" s="886"/>
      <c r="B497" s="887"/>
      <c r="C497" s="887"/>
      <c r="D497" s="887"/>
      <c r="E497" s="887"/>
      <c r="F497" s="888"/>
      <c r="G497" s="886"/>
      <c r="H497" s="887"/>
      <c r="I497" s="887"/>
      <c r="J497" s="887"/>
      <c r="K497" s="888"/>
    </row>
    <row r="498" spans="1:11" x14ac:dyDescent="0.25">
      <c r="A498" s="886"/>
      <c r="B498" s="887"/>
      <c r="C498" s="887"/>
      <c r="D498" s="887"/>
      <c r="E498" s="887"/>
      <c r="F498" s="888"/>
      <c r="G498" s="886"/>
      <c r="H498" s="887"/>
      <c r="I498" s="887"/>
      <c r="J498" s="887"/>
      <c r="K498" s="888"/>
    </row>
    <row r="499" spans="1:11" x14ac:dyDescent="0.25">
      <c r="A499" s="886"/>
      <c r="B499" s="887"/>
      <c r="C499" s="887"/>
      <c r="D499" s="887"/>
      <c r="E499" s="887"/>
      <c r="F499" s="888"/>
      <c r="G499" s="886"/>
      <c r="H499" s="887"/>
      <c r="I499" s="887"/>
      <c r="J499" s="887"/>
      <c r="K499" s="888"/>
    </row>
    <row r="500" spans="1:11" ht="15.75" thickBot="1" x14ac:dyDescent="0.3">
      <c r="A500" s="886"/>
      <c r="B500" s="887"/>
      <c r="C500" s="887"/>
      <c r="D500" s="887"/>
      <c r="E500" s="887"/>
      <c r="F500" s="888"/>
      <c r="G500" s="886"/>
      <c r="H500" s="887"/>
      <c r="I500" s="887"/>
      <c r="J500" s="887"/>
      <c r="K500" s="888"/>
    </row>
    <row r="501" spans="1:11" x14ac:dyDescent="0.25">
      <c r="A501" s="1020" t="s">
        <v>1289</v>
      </c>
      <c r="B501" s="1021"/>
      <c r="C501" s="1021"/>
      <c r="D501" s="1021"/>
      <c r="E501" s="1021"/>
      <c r="F501" s="1022"/>
      <c r="G501" s="1020" t="s">
        <v>1290</v>
      </c>
      <c r="H501" s="1021"/>
      <c r="I501" s="1021"/>
      <c r="J501" s="1021"/>
      <c r="K501" s="1022"/>
    </row>
    <row r="502" spans="1:11" ht="15.75" thickBot="1" x14ac:dyDescent="0.3">
      <c r="A502" s="1023"/>
      <c r="B502" s="1024"/>
      <c r="C502" s="1024"/>
      <c r="D502" s="1024"/>
      <c r="E502" s="1024"/>
      <c r="F502" s="1025"/>
      <c r="G502" s="1023"/>
      <c r="H502" s="1024"/>
      <c r="I502" s="1024"/>
      <c r="J502" s="1024"/>
      <c r="K502" s="1025"/>
    </row>
    <row r="503" spans="1:11" x14ac:dyDescent="0.25">
      <c r="A503" s="901" t="s">
        <v>504</v>
      </c>
      <c r="B503" s="902"/>
      <c r="C503" s="902"/>
      <c r="D503" s="902"/>
      <c r="E503" s="902"/>
      <c r="F503" s="903"/>
      <c r="G503" s="901"/>
      <c r="H503" s="902"/>
      <c r="I503" s="902"/>
      <c r="J503" s="902"/>
      <c r="K503" s="903"/>
    </row>
    <row r="504" spans="1:11" x14ac:dyDescent="0.25">
      <c r="A504" s="886"/>
      <c r="B504" s="887"/>
      <c r="C504" s="887"/>
      <c r="D504" s="887"/>
      <c r="E504" s="887"/>
      <c r="F504" s="888"/>
      <c r="G504" s="886"/>
      <c r="H504" s="887"/>
      <c r="I504" s="887"/>
      <c r="J504" s="887"/>
      <c r="K504" s="888"/>
    </row>
    <row r="505" spans="1:11" x14ac:dyDescent="0.25">
      <c r="A505" s="886"/>
      <c r="B505" s="887"/>
      <c r="C505" s="887"/>
      <c r="D505" s="887"/>
      <c r="E505" s="887"/>
      <c r="F505" s="888"/>
      <c r="G505" s="886"/>
      <c r="H505" s="887"/>
      <c r="I505" s="887"/>
      <c r="J505" s="887"/>
      <c r="K505" s="888"/>
    </row>
    <row r="506" spans="1:11" x14ac:dyDescent="0.25">
      <c r="A506" s="886"/>
      <c r="B506" s="887"/>
      <c r="C506" s="887"/>
      <c r="D506" s="887"/>
      <c r="E506" s="887"/>
      <c r="F506" s="888"/>
      <c r="G506" s="886"/>
      <c r="H506" s="887"/>
      <c r="I506" s="887"/>
      <c r="J506" s="887"/>
      <c r="K506" s="888"/>
    </row>
    <row r="507" spans="1:11" x14ac:dyDescent="0.25">
      <c r="A507" s="886"/>
      <c r="B507" s="887"/>
      <c r="C507" s="887"/>
      <c r="D507" s="887"/>
      <c r="E507" s="887"/>
      <c r="F507" s="888"/>
      <c r="G507" s="886"/>
      <c r="H507" s="887"/>
      <c r="I507" s="887"/>
      <c r="J507" s="887"/>
      <c r="K507" s="888"/>
    </row>
    <row r="508" spans="1:11" x14ac:dyDescent="0.25">
      <c r="A508" s="886"/>
      <c r="B508" s="887"/>
      <c r="C508" s="887"/>
      <c r="D508" s="887"/>
      <c r="E508" s="887"/>
      <c r="F508" s="888"/>
      <c r="G508" s="886"/>
      <c r="H508" s="887"/>
      <c r="I508" s="887"/>
      <c r="J508" s="887"/>
      <c r="K508" s="888"/>
    </row>
    <row r="509" spans="1:11" x14ac:dyDescent="0.25">
      <c r="A509" s="886"/>
      <c r="B509" s="887"/>
      <c r="C509" s="887"/>
      <c r="D509" s="887"/>
      <c r="E509" s="887"/>
      <c r="F509" s="888"/>
      <c r="G509" s="886"/>
      <c r="H509" s="887"/>
      <c r="I509" s="887"/>
      <c r="J509" s="887"/>
      <c r="K509" s="888"/>
    </row>
    <row r="510" spans="1:11" x14ac:dyDescent="0.25">
      <c r="A510" s="886"/>
      <c r="B510" s="887"/>
      <c r="C510" s="887"/>
      <c r="D510" s="887"/>
      <c r="E510" s="887"/>
      <c r="F510" s="888"/>
      <c r="G510" s="886"/>
      <c r="H510" s="887"/>
      <c r="I510" s="887"/>
      <c r="J510" s="887"/>
      <c r="K510" s="888"/>
    </row>
    <row r="511" spans="1:11" x14ac:dyDescent="0.25">
      <c r="A511" s="886"/>
      <c r="B511" s="887"/>
      <c r="C511" s="887"/>
      <c r="D511" s="887"/>
      <c r="E511" s="887"/>
      <c r="F511" s="888"/>
      <c r="G511" s="886"/>
      <c r="H511" s="887"/>
      <c r="I511" s="887"/>
      <c r="J511" s="887"/>
      <c r="K511" s="888"/>
    </row>
    <row r="512" spans="1:11" x14ac:dyDescent="0.25">
      <c r="A512" s="886"/>
      <c r="B512" s="887"/>
      <c r="C512" s="887"/>
      <c r="D512" s="887"/>
      <c r="E512" s="887"/>
      <c r="F512" s="888"/>
      <c r="G512" s="886"/>
      <c r="H512" s="887"/>
      <c r="I512" s="887"/>
      <c r="J512" s="887"/>
      <c r="K512" s="888"/>
    </row>
    <row r="513" spans="1:11" x14ac:dyDescent="0.25">
      <c r="A513" s="886"/>
      <c r="B513" s="887"/>
      <c r="C513" s="887"/>
      <c r="D513" s="887"/>
      <c r="E513" s="887"/>
      <c r="F513" s="888"/>
      <c r="G513" s="886"/>
      <c r="H513" s="887"/>
      <c r="I513" s="887"/>
      <c r="J513" s="887"/>
      <c r="K513" s="888"/>
    </row>
    <row r="514" spans="1:11" x14ac:dyDescent="0.25">
      <c r="A514" s="886"/>
      <c r="B514" s="887"/>
      <c r="C514" s="887"/>
      <c r="D514" s="887"/>
      <c r="E514" s="887"/>
      <c r="F514" s="888"/>
      <c r="G514" s="886"/>
      <c r="H514" s="887"/>
      <c r="I514" s="887"/>
      <c r="J514" s="887"/>
      <c r="K514" s="888"/>
    </row>
    <row r="515" spans="1:11" x14ac:dyDescent="0.25">
      <c r="A515" s="886"/>
      <c r="B515" s="887"/>
      <c r="C515" s="887"/>
      <c r="D515" s="887"/>
      <c r="E515" s="887"/>
      <c r="F515" s="888"/>
      <c r="G515" s="886"/>
      <c r="H515" s="887"/>
      <c r="I515" s="887"/>
      <c r="J515" s="887"/>
      <c r="K515" s="888"/>
    </row>
    <row r="516" spans="1:11" ht="15.75" thickBot="1" x14ac:dyDescent="0.3">
      <c r="A516" s="886"/>
      <c r="B516" s="887"/>
      <c r="C516" s="887"/>
      <c r="D516" s="887"/>
      <c r="E516" s="887"/>
      <c r="F516" s="888"/>
      <c r="G516" s="886"/>
      <c r="H516" s="887"/>
      <c r="I516" s="887"/>
      <c r="J516" s="887"/>
      <c r="K516" s="888"/>
    </row>
    <row r="517" spans="1:11" x14ac:dyDescent="0.25">
      <c r="A517" s="1020" t="s">
        <v>1291</v>
      </c>
      <c r="B517" s="1021"/>
      <c r="C517" s="1021"/>
      <c r="D517" s="1021"/>
      <c r="E517" s="1021"/>
      <c r="F517" s="1022"/>
      <c r="G517" s="1020" t="s">
        <v>1292</v>
      </c>
      <c r="H517" s="1021"/>
      <c r="I517" s="1021"/>
      <c r="J517" s="1021"/>
      <c r="K517" s="1022"/>
    </row>
    <row r="518" spans="1:11" ht="36" customHeight="1" thickBot="1" x14ac:dyDescent="0.3">
      <c r="A518" s="1023"/>
      <c r="B518" s="1024"/>
      <c r="C518" s="1024"/>
      <c r="D518" s="1024"/>
      <c r="E518" s="1024"/>
      <c r="F518" s="1025"/>
      <c r="G518" s="1023"/>
      <c r="H518" s="1024"/>
      <c r="I518" s="1024"/>
      <c r="J518" s="1024"/>
      <c r="K518" s="1025"/>
    </row>
    <row r="519" spans="1:11" x14ac:dyDescent="0.25">
      <c r="A519" s="901" t="s">
        <v>504</v>
      </c>
      <c r="B519" s="902"/>
      <c r="C519" s="902"/>
      <c r="D519" s="902"/>
      <c r="E519" s="902"/>
      <c r="F519" s="903"/>
      <c r="G519" s="901" t="s">
        <v>505</v>
      </c>
      <c r="H519" s="902"/>
      <c r="I519" s="902"/>
      <c r="J519" s="902"/>
      <c r="K519" s="903"/>
    </row>
    <row r="520" spans="1:11" x14ac:dyDescent="0.25">
      <c r="A520" s="886"/>
      <c r="B520" s="887"/>
      <c r="C520" s="887"/>
      <c r="D520" s="887"/>
      <c r="E520" s="887"/>
      <c r="F520" s="888"/>
      <c r="G520" s="886"/>
      <c r="H520" s="887"/>
      <c r="I520" s="887"/>
      <c r="J520" s="887"/>
      <c r="K520" s="888"/>
    </row>
    <row r="521" spans="1:11" x14ac:dyDescent="0.25">
      <c r="A521" s="886"/>
      <c r="B521" s="887"/>
      <c r="C521" s="887"/>
      <c r="D521" s="887"/>
      <c r="E521" s="887"/>
      <c r="F521" s="888"/>
      <c r="G521" s="886"/>
      <c r="H521" s="887"/>
      <c r="I521" s="887"/>
      <c r="J521" s="887"/>
      <c r="K521" s="888"/>
    </row>
    <row r="522" spans="1:11" x14ac:dyDescent="0.25">
      <c r="A522" s="886"/>
      <c r="B522" s="887"/>
      <c r="C522" s="887"/>
      <c r="D522" s="887"/>
      <c r="E522" s="887"/>
      <c r="F522" s="888"/>
      <c r="G522" s="886"/>
      <c r="H522" s="887"/>
      <c r="I522" s="887"/>
      <c r="J522" s="887"/>
      <c r="K522" s="888"/>
    </row>
    <row r="523" spans="1:11" x14ac:dyDescent="0.25">
      <c r="A523" s="886"/>
      <c r="B523" s="887"/>
      <c r="C523" s="887"/>
      <c r="D523" s="887"/>
      <c r="E523" s="887"/>
      <c r="F523" s="888"/>
      <c r="G523" s="886"/>
      <c r="H523" s="887"/>
      <c r="I523" s="887"/>
      <c r="J523" s="887"/>
      <c r="K523" s="888"/>
    </row>
    <row r="524" spans="1:11" x14ac:dyDescent="0.25">
      <c r="A524" s="886"/>
      <c r="B524" s="887"/>
      <c r="C524" s="887"/>
      <c r="D524" s="887"/>
      <c r="E524" s="887"/>
      <c r="F524" s="888"/>
      <c r="G524" s="886"/>
      <c r="H524" s="887"/>
      <c r="I524" s="887"/>
      <c r="J524" s="887"/>
      <c r="K524" s="888"/>
    </row>
    <row r="525" spans="1:11" x14ac:dyDescent="0.25">
      <c r="A525" s="886"/>
      <c r="B525" s="887"/>
      <c r="C525" s="887"/>
      <c r="D525" s="887"/>
      <c r="E525" s="887"/>
      <c r="F525" s="888"/>
      <c r="G525" s="886"/>
      <c r="H525" s="887"/>
      <c r="I525" s="887"/>
      <c r="J525" s="887"/>
      <c r="K525" s="888"/>
    </row>
    <row r="526" spans="1:11" x14ac:dyDescent="0.25">
      <c r="A526" s="886"/>
      <c r="B526" s="887"/>
      <c r="C526" s="887"/>
      <c r="D526" s="887"/>
      <c r="E526" s="887"/>
      <c r="F526" s="888"/>
      <c r="G526" s="886"/>
      <c r="H526" s="887"/>
      <c r="I526" s="887"/>
      <c r="J526" s="887"/>
      <c r="K526" s="888"/>
    </row>
    <row r="527" spans="1:11" x14ac:dyDescent="0.25">
      <c r="A527" s="886"/>
      <c r="B527" s="887"/>
      <c r="C527" s="887"/>
      <c r="D527" s="887"/>
      <c r="E527" s="887"/>
      <c r="F527" s="888"/>
      <c r="G527" s="886"/>
      <c r="H527" s="887"/>
      <c r="I527" s="887"/>
      <c r="J527" s="887"/>
      <c r="K527" s="888"/>
    </row>
    <row r="528" spans="1:11" x14ac:dyDescent="0.25">
      <c r="A528" s="886"/>
      <c r="B528" s="887"/>
      <c r="C528" s="887"/>
      <c r="D528" s="887"/>
      <c r="E528" s="887"/>
      <c r="F528" s="888"/>
      <c r="G528" s="886"/>
      <c r="H528" s="887"/>
      <c r="I528" s="887"/>
      <c r="J528" s="887"/>
      <c r="K528" s="888"/>
    </row>
    <row r="529" spans="1:11" x14ac:dyDescent="0.25">
      <c r="A529" s="886"/>
      <c r="B529" s="887"/>
      <c r="C529" s="887"/>
      <c r="D529" s="887"/>
      <c r="E529" s="887"/>
      <c r="F529" s="888"/>
      <c r="G529" s="886"/>
      <c r="H529" s="887"/>
      <c r="I529" s="887"/>
      <c r="J529" s="887"/>
      <c r="K529" s="888"/>
    </row>
    <row r="530" spans="1:11" x14ac:dyDescent="0.25">
      <c r="A530" s="886"/>
      <c r="B530" s="887"/>
      <c r="C530" s="887"/>
      <c r="D530" s="887"/>
      <c r="E530" s="887"/>
      <c r="F530" s="888"/>
      <c r="G530" s="886"/>
      <c r="H530" s="887"/>
      <c r="I530" s="887"/>
      <c r="J530" s="887"/>
      <c r="K530" s="888"/>
    </row>
    <row r="531" spans="1:11" x14ac:dyDescent="0.25">
      <c r="A531" s="886"/>
      <c r="B531" s="887"/>
      <c r="C531" s="887"/>
      <c r="D531" s="887"/>
      <c r="E531" s="887"/>
      <c r="F531" s="888"/>
      <c r="G531" s="886"/>
      <c r="H531" s="887"/>
      <c r="I531" s="887"/>
      <c r="J531" s="887"/>
      <c r="K531" s="888"/>
    </row>
    <row r="532" spans="1:11" ht="15.75" thickBot="1" x14ac:dyDescent="0.3">
      <c r="A532" s="886"/>
      <c r="B532" s="887"/>
      <c r="C532" s="887"/>
      <c r="D532" s="887"/>
      <c r="E532" s="887"/>
      <c r="F532" s="888"/>
      <c r="G532" s="886"/>
      <c r="H532" s="887"/>
      <c r="I532" s="887"/>
      <c r="J532" s="887"/>
      <c r="K532" s="888"/>
    </row>
    <row r="533" spans="1:11" x14ac:dyDescent="0.25">
      <c r="A533" s="1020" t="s">
        <v>1041</v>
      </c>
      <c r="B533" s="1021"/>
      <c r="C533" s="1021"/>
      <c r="D533" s="1021"/>
      <c r="E533" s="1021"/>
      <c r="F533" s="1022"/>
      <c r="G533" s="1020" t="s">
        <v>1041</v>
      </c>
      <c r="H533" s="1021"/>
      <c r="I533" s="1021"/>
      <c r="J533" s="1021"/>
      <c r="K533" s="1022"/>
    </row>
    <row r="534" spans="1:11" ht="15.75" thickBot="1" x14ac:dyDescent="0.3">
      <c r="A534" s="1023"/>
      <c r="B534" s="1024"/>
      <c r="C534" s="1024"/>
      <c r="D534" s="1024"/>
      <c r="E534" s="1024"/>
      <c r="F534" s="1025"/>
      <c r="G534" s="1023"/>
      <c r="H534" s="1024"/>
      <c r="I534" s="1024"/>
      <c r="J534" s="1024"/>
      <c r="K534" s="1025"/>
    </row>
    <row r="535" spans="1:11" x14ac:dyDescent="0.25">
      <c r="A535" s="901" t="s">
        <v>504</v>
      </c>
      <c r="B535" s="902"/>
      <c r="C535" s="902"/>
      <c r="D535" s="902"/>
      <c r="E535" s="902"/>
      <c r="F535" s="903"/>
      <c r="G535" s="901" t="s">
        <v>505</v>
      </c>
      <c r="H535" s="902"/>
      <c r="I535" s="902"/>
      <c r="J535" s="902"/>
      <c r="K535" s="903"/>
    </row>
    <row r="536" spans="1:11" x14ac:dyDescent="0.25">
      <c r="A536" s="886"/>
      <c r="B536" s="887"/>
      <c r="C536" s="887"/>
      <c r="D536" s="887"/>
      <c r="E536" s="887"/>
      <c r="F536" s="888"/>
      <c r="G536" s="886"/>
      <c r="H536" s="887"/>
      <c r="I536" s="887"/>
      <c r="J536" s="887"/>
      <c r="K536" s="888"/>
    </row>
    <row r="537" spans="1:11" x14ac:dyDescent="0.25">
      <c r="A537" s="886"/>
      <c r="B537" s="887"/>
      <c r="C537" s="887"/>
      <c r="D537" s="887"/>
      <c r="E537" s="887"/>
      <c r="F537" s="888"/>
      <c r="G537" s="886"/>
      <c r="H537" s="887"/>
      <c r="I537" s="887"/>
      <c r="J537" s="887"/>
      <c r="K537" s="888"/>
    </row>
    <row r="538" spans="1:11" x14ac:dyDescent="0.25">
      <c r="A538" s="886"/>
      <c r="B538" s="887"/>
      <c r="C538" s="887"/>
      <c r="D538" s="887"/>
      <c r="E538" s="887"/>
      <c r="F538" s="888"/>
      <c r="G538" s="886"/>
      <c r="H538" s="887"/>
      <c r="I538" s="887"/>
      <c r="J538" s="887"/>
      <c r="K538" s="888"/>
    </row>
    <row r="539" spans="1:11" x14ac:dyDescent="0.25">
      <c r="A539" s="886"/>
      <c r="B539" s="887"/>
      <c r="C539" s="887"/>
      <c r="D539" s="887"/>
      <c r="E539" s="887"/>
      <c r="F539" s="888"/>
      <c r="G539" s="886"/>
      <c r="H539" s="887"/>
      <c r="I539" s="887"/>
      <c r="J539" s="887"/>
      <c r="K539" s="888"/>
    </row>
    <row r="540" spans="1:11" x14ac:dyDescent="0.25">
      <c r="A540" s="886"/>
      <c r="B540" s="887"/>
      <c r="C540" s="887"/>
      <c r="D540" s="887"/>
      <c r="E540" s="887"/>
      <c r="F540" s="888"/>
      <c r="G540" s="886"/>
      <c r="H540" s="887"/>
      <c r="I540" s="887"/>
      <c r="J540" s="887"/>
      <c r="K540" s="888"/>
    </row>
    <row r="541" spans="1:11" x14ac:dyDescent="0.25">
      <c r="A541" s="886"/>
      <c r="B541" s="887"/>
      <c r="C541" s="887"/>
      <c r="D541" s="887"/>
      <c r="E541" s="887"/>
      <c r="F541" s="888"/>
      <c r="G541" s="886"/>
      <c r="H541" s="887"/>
      <c r="I541" s="887"/>
      <c r="J541" s="887"/>
      <c r="K541" s="888"/>
    </row>
    <row r="542" spans="1:11" x14ac:dyDescent="0.25">
      <c r="A542" s="886"/>
      <c r="B542" s="887"/>
      <c r="C542" s="887"/>
      <c r="D542" s="887"/>
      <c r="E542" s="887"/>
      <c r="F542" s="888"/>
      <c r="G542" s="886"/>
      <c r="H542" s="887"/>
      <c r="I542" s="887"/>
      <c r="J542" s="887"/>
      <c r="K542" s="888"/>
    </row>
    <row r="543" spans="1:11" x14ac:dyDescent="0.25">
      <c r="A543" s="886"/>
      <c r="B543" s="887"/>
      <c r="C543" s="887"/>
      <c r="D543" s="887"/>
      <c r="E543" s="887"/>
      <c r="F543" s="888"/>
      <c r="G543" s="886"/>
      <c r="H543" s="887"/>
      <c r="I543" s="887"/>
      <c r="J543" s="887"/>
      <c r="K543" s="888"/>
    </row>
    <row r="544" spans="1:11" x14ac:dyDescent="0.25">
      <c r="A544" s="886"/>
      <c r="B544" s="887"/>
      <c r="C544" s="887"/>
      <c r="D544" s="887"/>
      <c r="E544" s="887"/>
      <c r="F544" s="888"/>
      <c r="G544" s="886"/>
      <c r="H544" s="887"/>
      <c r="I544" s="887"/>
      <c r="J544" s="887"/>
      <c r="K544" s="888"/>
    </row>
    <row r="545" spans="1:11" x14ac:dyDescent="0.25">
      <c r="A545" s="886"/>
      <c r="B545" s="887"/>
      <c r="C545" s="887"/>
      <c r="D545" s="887"/>
      <c r="E545" s="887"/>
      <c r="F545" s="888"/>
      <c r="G545" s="886"/>
      <c r="H545" s="887"/>
      <c r="I545" s="887"/>
      <c r="J545" s="887"/>
      <c r="K545" s="888"/>
    </row>
    <row r="546" spans="1:11" x14ac:dyDescent="0.25">
      <c r="A546" s="886"/>
      <c r="B546" s="887"/>
      <c r="C546" s="887"/>
      <c r="D546" s="887"/>
      <c r="E546" s="887"/>
      <c r="F546" s="888"/>
      <c r="G546" s="886"/>
      <c r="H546" s="887"/>
      <c r="I546" s="887"/>
      <c r="J546" s="887"/>
      <c r="K546" s="888"/>
    </row>
    <row r="547" spans="1:11" x14ac:dyDescent="0.25">
      <c r="A547" s="886"/>
      <c r="B547" s="887"/>
      <c r="C547" s="887"/>
      <c r="D547" s="887"/>
      <c r="E547" s="887"/>
      <c r="F547" s="888"/>
      <c r="G547" s="886"/>
      <c r="H547" s="887"/>
      <c r="I547" s="887"/>
      <c r="J547" s="887"/>
      <c r="K547" s="888"/>
    </row>
    <row r="548" spans="1:11" ht="15.75" thickBot="1" x14ac:dyDescent="0.3">
      <c r="A548" s="886"/>
      <c r="B548" s="887"/>
      <c r="C548" s="887"/>
      <c r="D548" s="887"/>
      <c r="E548" s="887"/>
      <c r="F548" s="888"/>
      <c r="G548" s="886"/>
      <c r="H548" s="887"/>
      <c r="I548" s="887"/>
      <c r="J548" s="887"/>
      <c r="K548" s="888"/>
    </row>
    <row r="549" spans="1:11" x14ac:dyDescent="0.25">
      <c r="A549" s="1020" t="s">
        <v>1293</v>
      </c>
      <c r="B549" s="1021"/>
      <c r="C549" s="1021"/>
      <c r="D549" s="1021"/>
      <c r="E549" s="1021"/>
      <c r="F549" s="1022"/>
      <c r="G549" s="1020" t="s">
        <v>1294</v>
      </c>
      <c r="H549" s="1021"/>
      <c r="I549" s="1021"/>
      <c r="J549" s="1021"/>
      <c r="K549" s="1022"/>
    </row>
    <row r="550" spans="1:11" ht="15.75" thickBot="1" x14ac:dyDescent="0.3">
      <c r="A550" s="1023"/>
      <c r="B550" s="1024"/>
      <c r="C550" s="1024"/>
      <c r="D550" s="1024"/>
      <c r="E550" s="1024"/>
      <c r="F550" s="1025"/>
      <c r="G550" s="1023"/>
      <c r="H550" s="1024"/>
      <c r="I550" s="1024"/>
      <c r="J550" s="1024"/>
      <c r="K550" s="1025"/>
    </row>
    <row r="551" spans="1:11" x14ac:dyDescent="0.25">
      <c r="A551" s="901" t="s">
        <v>504</v>
      </c>
      <c r="B551" s="902"/>
      <c r="C551" s="902"/>
      <c r="D551" s="902"/>
      <c r="E551" s="902"/>
      <c r="F551" s="903"/>
      <c r="G551" s="901" t="s">
        <v>505</v>
      </c>
      <c r="H551" s="902"/>
      <c r="I551" s="902"/>
      <c r="J551" s="902"/>
      <c r="K551" s="903"/>
    </row>
    <row r="552" spans="1:11" x14ac:dyDescent="0.25">
      <c r="A552" s="886"/>
      <c r="B552" s="887"/>
      <c r="C552" s="887"/>
      <c r="D552" s="887"/>
      <c r="E552" s="887"/>
      <c r="F552" s="888"/>
      <c r="G552" s="886"/>
      <c r="H552" s="887"/>
      <c r="I552" s="887"/>
      <c r="J552" s="887"/>
      <c r="K552" s="888"/>
    </row>
    <row r="553" spans="1:11" x14ac:dyDescent="0.25">
      <c r="A553" s="886"/>
      <c r="B553" s="887"/>
      <c r="C553" s="887"/>
      <c r="D553" s="887"/>
      <c r="E553" s="887"/>
      <c r="F553" s="888"/>
      <c r="G553" s="886"/>
      <c r="H553" s="887"/>
      <c r="I553" s="887"/>
      <c r="J553" s="887"/>
      <c r="K553" s="888"/>
    </row>
    <row r="554" spans="1:11" x14ac:dyDescent="0.25">
      <c r="A554" s="886"/>
      <c r="B554" s="887"/>
      <c r="C554" s="887"/>
      <c r="D554" s="887"/>
      <c r="E554" s="887"/>
      <c r="F554" s="888"/>
      <c r="G554" s="886"/>
      <c r="H554" s="887"/>
      <c r="I554" s="887"/>
      <c r="J554" s="887"/>
      <c r="K554" s="888"/>
    </row>
    <row r="555" spans="1:11" x14ac:dyDescent="0.25">
      <c r="A555" s="886"/>
      <c r="B555" s="887"/>
      <c r="C555" s="887"/>
      <c r="D555" s="887"/>
      <c r="E555" s="887"/>
      <c r="F555" s="888"/>
      <c r="G555" s="886"/>
      <c r="H555" s="887"/>
      <c r="I555" s="887"/>
      <c r="J555" s="887"/>
      <c r="K555" s="888"/>
    </row>
    <row r="556" spans="1:11" x14ac:dyDescent="0.25">
      <c r="A556" s="886"/>
      <c r="B556" s="887"/>
      <c r="C556" s="887"/>
      <c r="D556" s="887"/>
      <c r="E556" s="887"/>
      <c r="F556" s="888"/>
      <c r="G556" s="886"/>
      <c r="H556" s="887"/>
      <c r="I556" s="887"/>
      <c r="J556" s="887"/>
      <c r="K556" s="888"/>
    </row>
    <row r="557" spans="1:11" x14ac:dyDescent="0.25">
      <c r="A557" s="886"/>
      <c r="B557" s="887"/>
      <c r="C557" s="887"/>
      <c r="D557" s="887"/>
      <c r="E557" s="887"/>
      <c r="F557" s="888"/>
      <c r="G557" s="886"/>
      <c r="H557" s="887"/>
      <c r="I557" s="887"/>
      <c r="J557" s="887"/>
      <c r="K557" s="888"/>
    </row>
    <row r="558" spans="1:11" x14ac:dyDescent="0.25">
      <c r="A558" s="886"/>
      <c r="B558" s="887"/>
      <c r="C558" s="887"/>
      <c r="D558" s="887"/>
      <c r="E558" s="887"/>
      <c r="F558" s="888"/>
      <c r="G558" s="886"/>
      <c r="H558" s="887"/>
      <c r="I558" s="887"/>
      <c r="J558" s="887"/>
      <c r="K558" s="888"/>
    </row>
    <row r="559" spans="1:11" x14ac:dyDescent="0.25">
      <c r="A559" s="886"/>
      <c r="B559" s="887"/>
      <c r="C559" s="887"/>
      <c r="D559" s="887"/>
      <c r="E559" s="887"/>
      <c r="F559" s="888"/>
      <c r="G559" s="886"/>
      <c r="H559" s="887"/>
      <c r="I559" s="887"/>
      <c r="J559" s="887"/>
      <c r="K559" s="888"/>
    </row>
    <row r="560" spans="1:11" x14ac:dyDescent="0.25">
      <c r="A560" s="886"/>
      <c r="B560" s="887"/>
      <c r="C560" s="887"/>
      <c r="D560" s="887"/>
      <c r="E560" s="887"/>
      <c r="F560" s="888"/>
      <c r="G560" s="886"/>
      <c r="H560" s="887"/>
      <c r="I560" s="887"/>
      <c r="J560" s="887"/>
      <c r="K560" s="888"/>
    </row>
    <row r="561" spans="1:11" x14ac:dyDescent="0.25">
      <c r="A561" s="886"/>
      <c r="B561" s="887"/>
      <c r="C561" s="887"/>
      <c r="D561" s="887"/>
      <c r="E561" s="887"/>
      <c r="F561" s="888"/>
      <c r="G561" s="886"/>
      <c r="H561" s="887"/>
      <c r="I561" s="887"/>
      <c r="J561" s="887"/>
      <c r="K561" s="888"/>
    </row>
    <row r="562" spans="1:11" x14ac:dyDescent="0.25">
      <c r="A562" s="886"/>
      <c r="B562" s="887"/>
      <c r="C562" s="887"/>
      <c r="D562" s="887"/>
      <c r="E562" s="887"/>
      <c r="F562" s="888"/>
      <c r="G562" s="886"/>
      <c r="H562" s="887"/>
      <c r="I562" s="887"/>
      <c r="J562" s="887"/>
      <c r="K562" s="888"/>
    </row>
    <row r="563" spans="1:11" x14ac:dyDescent="0.25">
      <c r="A563" s="886"/>
      <c r="B563" s="887"/>
      <c r="C563" s="887"/>
      <c r="D563" s="887"/>
      <c r="E563" s="887"/>
      <c r="F563" s="888"/>
      <c r="G563" s="886"/>
      <c r="H563" s="887"/>
      <c r="I563" s="887"/>
      <c r="J563" s="887"/>
      <c r="K563" s="888"/>
    </row>
    <row r="564" spans="1:11" ht="15.75" thickBot="1" x14ac:dyDescent="0.3">
      <c r="A564" s="886"/>
      <c r="B564" s="887"/>
      <c r="C564" s="887"/>
      <c r="D564" s="887"/>
      <c r="E564" s="887"/>
      <c r="F564" s="888"/>
      <c r="G564" s="886"/>
      <c r="H564" s="887"/>
      <c r="I564" s="887"/>
      <c r="J564" s="887"/>
      <c r="K564" s="888"/>
    </row>
    <row r="565" spans="1:11" x14ac:dyDescent="0.25">
      <c r="A565" s="1020" t="s">
        <v>1295</v>
      </c>
      <c r="B565" s="1021"/>
      <c r="C565" s="1021"/>
      <c r="D565" s="1021"/>
      <c r="E565" s="1021"/>
      <c r="F565" s="1022"/>
      <c r="G565" s="1020" t="s">
        <v>1296</v>
      </c>
      <c r="H565" s="1021"/>
      <c r="I565" s="1021"/>
      <c r="J565" s="1021"/>
      <c r="K565" s="1022"/>
    </row>
    <row r="566" spans="1:11" ht="15.75" thickBot="1" x14ac:dyDescent="0.3">
      <c r="A566" s="1023"/>
      <c r="B566" s="1024"/>
      <c r="C566" s="1024"/>
      <c r="D566" s="1024"/>
      <c r="E566" s="1024"/>
      <c r="F566" s="1025"/>
      <c r="G566" s="1023"/>
      <c r="H566" s="1024"/>
      <c r="I566" s="1024"/>
      <c r="J566" s="1024"/>
      <c r="K566" s="1025"/>
    </row>
    <row r="567" spans="1:11" x14ac:dyDescent="0.25">
      <c r="A567" s="901" t="s">
        <v>504</v>
      </c>
      <c r="B567" s="902"/>
      <c r="C567" s="902"/>
      <c r="D567" s="902"/>
      <c r="E567" s="902"/>
      <c r="F567" s="903"/>
      <c r="G567" s="901" t="s">
        <v>505</v>
      </c>
      <c r="H567" s="902"/>
      <c r="I567" s="902"/>
      <c r="J567" s="902"/>
      <c r="K567" s="903"/>
    </row>
    <row r="568" spans="1:11" x14ac:dyDescent="0.25">
      <c r="A568" s="886"/>
      <c r="B568" s="887"/>
      <c r="C568" s="887"/>
      <c r="D568" s="887"/>
      <c r="E568" s="887"/>
      <c r="F568" s="888"/>
      <c r="G568" s="886"/>
      <c r="H568" s="887"/>
      <c r="I568" s="887"/>
      <c r="J568" s="887"/>
      <c r="K568" s="888"/>
    </row>
    <row r="569" spans="1:11" x14ac:dyDescent="0.25">
      <c r="A569" s="886"/>
      <c r="B569" s="887"/>
      <c r="C569" s="887"/>
      <c r="D569" s="887"/>
      <c r="E569" s="887"/>
      <c r="F569" s="888"/>
      <c r="G569" s="886"/>
      <c r="H569" s="887"/>
      <c r="I569" s="887"/>
      <c r="J569" s="887"/>
      <c r="K569" s="888"/>
    </row>
    <row r="570" spans="1:11" x14ac:dyDescent="0.25">
      <c r="A570" s="886"/>
      <c r="B570" s="887"/>
      <c r="C570" s="887"/>
      <c r="D570" s="887"/>
      <c r="E570" s="887"/>
      <c r="F570" s="888"/>
      <c r="G570" s="886"/>
      <c r="H570" s="887"/>
      <c r="I570" s="887"/>
      <c r="J570" s="887"/>
      <c r="K570" s="888"/>
    </row>
    <row r="571" spans="1:11" x14ac:dyDescent="0.25">
      <c r="A571" s="886"/>
      <c r="B571" s="887"/>
      <c r="C571" s="887"/>
      <c r="D571" s="887"/>
      <c r="E571" s="887"/>
      <c r="F571" s="888"/>
      <c r="G571" s="886"/>
      <c r="H571" s="887"/>
      <c r="I571" s="887"/>
      <c r="J571" s="887"/>
      <c r="K571" s="888"/>
    </row>
    <row r="572" spans="1:11" x14ac:dyDescent="0.25">
      <c r="A572" s="886"/>
      <c r="B572" s="887"/>
      <c r="C572" s="887"/>
      <c r="D572" s="887"/>
      <c r="E572" s="887"/>
      <c r="F572" s="888"/>
      <c r="G572" s="886"/>
      <c r="H572" s="887"/>
      <c r="I572" s="887"/>
      <c r="J572" s="887"/>
      <c r="K572" s="888"/>
    </row>
    <row r="573" spans="1:11" x14ac:dyDescent="0.25">
      <c r="A573" s="886"/>
      <c r="B573" s="887"/>
      <c r="C573" s="887"/>
      <c r="D573" s="887"/>
      <c r="E573" s="887"/>
      <c r="F573" s="888"/>
      <c r="G573" s="886"/>
      <c r="H573" s="887"/>
      <c r="I573" s="887"/>
      <c r="J573" s="887"/>
      <c r="K573" s="888"/>
    </row>
    <row r="574" spans="1:11" x14ac:dyDescent="0.25">
      <c r="A574" s="886"/>
      <c r="B574" s="887"/>
      <c r="C574" s="887"/>
      <c r="D574" s="887"/>
      <c r="E574" s="887"/>
      <c r="F574" s="888"/>
      <c r="G574" s="886"/>
      <c r="H574" s="887"/>
      <c r="I574" s="887"/>
      <c r="J574" s="887"/>
      <c r="K574" s="888"/>
    </row>
    <row r="575" spans="1:11" x14ac:dyDescent="0.25">
      <c r="A575" s="886"/>
      <c r="B575" s="887"/>
      <c r="C575" s="887"/>
      <c r="D575" s="887"/>
      <c r="E575" s="887"/>
      <c r="F575" s="888"/>
      <c r="G575" s="886"/>
      <c r="H575" s="887"/>
      <c r="I575" s="887"/>
      <c r="J575" s="887"/>
      <c r="K575" s="888"/>
    </row>
    <row r="576" spans="1:11" x14ac:dyDescent="0.25">
      <c r="A576" s="886"/>
      <c r="B576" s="887"/>
      <c r="C576" s="887"/>
      <c r="D576" s="887"/>
      <c r="E576" s="887"/>
      <c r="F576" s="888"/>
      <c r="G576" s="886"/>
      <c r="H576" s="887"/>
      <c r="I576" s="887"/>
      <c r="J576" s="887"/>
      <c r="K576" s="888"/>
    </row>
    <row r="577" spans="1:11" x14ac:dyDescent="0.25">
      <c r="A577" s="886"/>
      <c r="B577" s="887"/>
      <c r="C577" s="887"/>
      <c r="D577" s="887"/>
      <c r="E577" s="887"/>
      <c r="F577" s="888"/>
      <c r="G577" s="886"/>
      <c r="H577" s="887"/>
      <c r="I577" s="887"/>
      <c r="J577" s="887"/>
      <c r="K577" s="888"/>
    </row>
    <row r="578" spans="1:11" x14ac:dyDescent="0.25">
      <c r="A578" s="886"/>
      <c r="B578" s="887"/>
      <c r="C578" s="887"/>
      <c r="D578" s="887"/>
      <c r="E578" s="887"/>
      <c r="F578" s="888"/>
      <c r="G578" s="886"/>
      <c r="H578" s="887"/>
      <c r="I578" s="887"/>
      <c r="J578" s="887"/>
      <c r="K578" s="888"/>
    </row>
    <row r="579" spans="1:11" x14ac:dyDescent="0.25">
      <c r="A579" s="886"/>
      <c r="B579" s="887"/>
      <c r="C579" s="887"/>
      <c r="D579" s="887"/>
      <c r="E579" s="887"/>
      <c r="F579" s="888"/>
      <c r="G579" s="886"/>
      <c r="H579" s="887"/>
      <c r="I579" s="887"/>
      <c r="J579" s="887"/>
      <c r="K579" s="888"/>
    </row>
    <row r="580" spans="1:11" ht="15.75" thickBot="1" x14ac:dyDescent="0.3">
      <c r="A580" s="886"/>
      <c r="B580" s="887"/>
      <c r="C580" s="887"/>
      <c r="D580" s="887"/>
      <c r="E580" s="887"/>
      <c r="F580" s="888"/>
      <c r="G580" s="886"/>
      <c r="H580" s="887"/>
      <c r="I580" s="887"/>
      <c r="J580" s="887"/>
      <c r="K580" s="888"/>
    </row>
    <row r="581" spans="1:11" ht="15" customHeight="1" x14ac:dyDescent="0.25">
      <c r="A581" s="1020" t="s">
        <v>1297</v>
      </c>
      <c r="B581" s="1026"/>
      <c r="C581" s="1026"/>
      <c r="D581" s="1026"/>
      <c r="E581" s="1026"/>
      <c r="F581" s="1027"/>
      <c r="G581" s="1020" t="s">
        <v>1298</v>
      </c>
      <c r="H581" s="1021"/>
      <c r="I581" s="1021"/>
      <c r="J581" s="1021"/>
      <c r="K581" s="1022"/>
    </row>
    <row r="582" spans="1:11" ht="15.75" thickBot="1" x14ac:dyDescent="0.3">
      <c r="A582" s="1028"/>
      <c r="B582" s="1029"/>
      <c r="C582" s="1029"/>
      <c r="D582" s="1029"/>
      <c r="E582" s="1029"/>
      <c r="F582" s="1030"/>
      <c r="G582" s="1023"/>
      <c r="H582" s="1024"/>
      <c r="I582" s="1024"/>
      <c r="J582" s="1024"/>
      <c r="K582" s="1025"/>
    </row>
    <row r="583" spans="1:11" x14ac:dyDescent="0.25">
      <c r="A583" s="901" t="s">
        <v>504</v>
      </c>
      <c r="B583" s="902"/>
      <c r="C583" s="902"/>
      <c r="D583" s="902"/>
      <c r="E583" s="902"/>
      <c r="F583" s="903"/>
      <c r="G583" s="901" t="s">
        <v>505</v>
      </c>
      <c r="H583" s="902"/>
      <c r="I583" s="902"/>
      <c r="J583" s="902"/>
      <c r="K583" s="903"/>
    </row>
    <row r="584" spans="1:11" x14ac:dyDescent="0.25">
      <c r="A584" s="886"/>
      <c r="B584" s="887"/>
      <c r="C584" s="887"/>
      <c r="D584" s="887"/>
      <c r="E584" s="887"/>
      <c r="F584" s="888"/>
      <c r="G584" s="886"/>
      <c r="H584" s="887"/>
      <c r="I584" s="887"/>
      <c r="J584" s="887"/>
      <c r="K584" s="888"/>
    </row>
    <row r="585" spans="1:11" x14ac:dyDescent="0.25">
      <c r="A585" s="886"/>
      <c r="B585" s="887"/>
      <c r="C585" s="887"/>
      <c r="D585" s="887"/>
      <c r="E585" s="887"/>
      <c r="F585" s="888"/>
      <c r="G585" s="886"/>
      <c r="H585" s="887"/>
      <c r="I585" s="887"/>
      <c r="J585" s="887"/>
      <c r="K585" s="888"/>
    </row>
    <row r="586" spans="1:11" x14ac:dyDescent="0.25">
      <c r="A586" s="886"/>
      <c r="B586" s="887"/>
      <c r="C586" s="887"/>
      <c r="D586" s="887"/>
      <c r="E586" s="887"/>
      <c r="F586" s="888"/>
      <c r="G586" s="886"/>
      <c r="H586" s="887"/>
      <c r="I586" s="887"/>
      <c r="J586" s="887"/>
      <c r="K586" s="888"/>
    </row>
    <row r="587" spans="1:11" x14ac:dyDescent="0.25">
      <c r="A587" s="886"/>
      <c r="B587" s="887"/>
      <c r="C587" s="887"/>
      <c r="D587" s="887"/>
      <c r="E587" s="887"/>
      <c r="F587" s="888"/>
      <c r="G587" s="886"/>
      <c r="H587" s="887"/>
      <c r="I587" s="887"/>
      <c r="J587" s="887"/>
      <c r="K587" s="888"/>
    </row>
    <row r="588" spans="1:11" x14ac:dyDescent="0.25">
      <c r="A588" s="886"/>
      <c r="B588" s="887"/>
      <c r="C588" s="887"/>
      <c r="D588" s="887"/>
      <c r="E588" s="887"/>
      <c r="F588" s="888"/>
      <c r="G588" s="886"/>
      <c r="H588" s="887"/>
      <c r="I588" s="887"/>
      <c r="J588" s="887"/>
      <c r="K588" s="888"/>
    </row>
    <row r="589" spans="1:11" x14ac:dyDescent="0.25">
      <c r="A589" s="886"/>
      <c r="B589" s="887"/>
      <c r="C589" s="887"/>
      <c r="D589" s="887"/>
      <c r="E589" s="887"/>
      <c r="F589" s="888"/>
      <c r="G589" s="886"/>
      <c r="H589" s="887"/>
      <c r="I589" s="887"/>
      <c r="J589" s="887"/>
      <c r="K589" s="888"/>
    </row>
    <row r="590" spans="1:11" x14ac:dyDescent="0.25">
      <c r="A590" s="886"/>
      <c r="B590" s="887"/>
      <c r="C590" s="887"/>
      <c r="D590" s="887"/>
      <c r="E590" s="887"/>
      <c r="F590" s="888"/>
      <c r="G590" s="886"/>
      <c r="H590" s="887"/>
      <c r="I590" s="887"/>
      <c r="J590" s="887"/>
      <c r="K590" s="888"/>
    </row>
    <row r="591" spans="1:11" x14ac:dyDescent="0.25">
      <c r="A591" s="886"/>
      <c r="B591" s="887"/>
      <c r="C591" s="887"/>
      <c r="D591" s="887"/>
      <c r="E591" s="887"/>
      <c r="F591" s="888"/>
      <c r="G591" s="886"/>
      <c r="H591" s="887"/>
      <c r="I591" s="887"/>
      <c r="J591" s="887"/>
      <c r="K591" s="888"/>
    </row>
    <row r="592" spans="1:11" x14ac:dyDescent="0.25">
      <c r="A592" s="886"/>
      <c r="B592" s="887"/>
      <c r="C592" s="887"/>
      <c r="D592" s="887"/>
      <c r="E592" s="887"/>
      <c r="F592" s="888"/>
      <c r="G592" s="886"/>
      <c r="H592" s="887"/>
      <c r="I592" s="887"/>
      <c r="J592" s="887"/>
      <c r="K592" s="888"/>
    </row>
    <row r="593" spans="1:11" x14ac:dyDescent="0.25">
      <c r="A593" s="886"/>
      <c r="B593" s="887"/>
      <c r="C593" s="887"/>
      <c r="D593" s="887"/>
      <c r="E593" s="887"/>
      <c r="F593" s="888"/>
      <c r="G593" s="886"/>
      <c r="H593" s="887"/>
      <c r="I593" s="887"/>
      <c r="J593" s="887"/>
      <c r="K593" s="888"/>
    </row>
    <row r="594" spans="1:11" x14ac:dyDescent="0.25">
      <c r="A594" s="886"/>
      <c r="B594" s="887"/>
      <c r="C594" s="887"/>
      <c r="D594" s="887"/>
      <c r="E594" s="887"/>
      <c r="F594" s="888"/>
      <c r="G594" s="886"/>
      <c r="H594" s="887"/>
      <c r="I594" s="887"/>
      <c r="J594" s="887"/>
      <c r="K594" s="888"/>
    </row>
    <row r="595" spans="1:11" x14ac:dyDescent="0.25">
      <c r="A595" s="886"/>
      <c r="B595" s="887"/>
      <c r="C595" s="887"/>
      <c r="D595" s="887"/>
      <c r="E595" s="887"/>
      <c r="F595" s="888"/>
      <c r="G595" s="886"/>
      <c r="H595" s="887"/>
      <c r="I595" s="887"/>
      <c r="J595" s="887"/>
      <c r="K595" s="888"/>
    </row>
    <row r="596" spans="1:11" ht="15.75" thickBot="1" x14ac:dyDescent="0.3">
      <c r="A596" s="886"/>
      <c r="B596" s="887"/>
      <c r="C596" s="887"/>
      <c r="D596" s="887"/>
      <c r="E596" s="887"/>
      <c r="F596" s="888"/>
      <c r="G596" s="886"/>
      <c r="H596" s="887"/>
      <c r="I596" s="887"/>
      <c r="J596" s="887"/>
      <c r="K596" s="888"/>
    </row>
    <row r="597" spans="1:11" ht="15" customHeight="1" x14ac:dyDescent="0.25">
      <c r="A597" s="1020" t="s">
        <v>1299</v>
      </c>
      <c r="B597" s="1026"/>
      <c r="C597" s="1026"/>
      <c r="D597" s="1026"/>
      <c r="E597" s="1026"/>
      <c r="F597" s="1027"/>
      <c r="G597" s="1020" t="s">
        <v>1299</v>
      </c>
      <c r="H597" s="1021"/>
      <c r="I597" s="1021"/>
      <c r="J597" s="1021"/>
      <c r="K597" s="1022"/>
    </row>
    <row r="598" spans="1:11" ht="15.75" thickBot="1" x14ac:dyDescent="0.3">
      <c r="A598" s="1028"/>
      <c r="B598" s="1029"/>
      <c r="C598" s="1029"/>
      <c r="D598" s="1029"/>
      <c r="E598" s="1029"/>
      <c r="F598" s="1030"/>
      <c r="G598" s="1023"/>
      <c r="H598" s="1024"/>
      <c r="I598" s="1024"/>
      <c r="J598" s="1024"/>
      <c r="K598" s="1025"/>
    </row>
  </sheetData>
  <mergeCells count="153">
    <mergeCell ref="A597:F598"/>
    <mergeCell ref="G597:K598"/>
    <mergeCell ref="A567:F580"/>
    <mergeCell ref="G567:K580"/>
    <mergeCell ref="A581:F582"/>
    <mergeCell ref="G581:K582"/>
    <mergeCell ref="A583:F596"/>
    <mergeCell ref="G583:K596"/>
    <mergeCell ref="A549:F550"/>
    <mergeCell ref="G549:K550"/>
    <mergeCell ref="A551:F564"/>
    <mergeCell ref="G551:K564"/>
    <mergeCell ref="A565:F566"/>
    <mergeCell ref="G565:K566"/>
    <mergeCell ref="A519:F532"/>
    <mergeCell ref="G519:K532"/>
    <mergeCell ref="A533:F534"/>
    <mergeCell ref="G533:K534"/>
    <mergeCell ref="A535:F548"/>
    <mergeCell ref="G535:K548"/>
    <mergeCell ref="A501:F502"/>
    <mergeCell ref="G501:K502"/>
    <mergeCell ref="A503:F516"/>
    <mergeCell ref="G503:K516"/>
    <mergeCell ref="A517:F518"/>
    <mergeCell ref="G517:K518"/>
    <mergeCell ref="A471:F484"/>
    <mergeCell ref="G471:K484"/>
    <mergeCell ref="A485:F486"/>
    <mergeCell ref="G485:K486"/>
    <mergeCell ref="A487:F500"/>
    <mergeCell ref="G487:K500"/>
    <mergeCell ref="A453:F454"/>
    <mergeCell ref="G453:K454"/>
    <mergeCell ref="A455:F468"/>
    <mergeCell ref="G455:K468"/>
    <mergeCell ref="A469:F470"/>
    <mergeCell ref="G469:K470"/>
    <mergeCell ref="A423:F436"/>
    <mergeCell ref="G423:K436"/>
    <mergeCell ref="A437:F438"/>
    <mergeCell ref="G437:K438"/>
    <mergeCell ref="A439:F452"/>
    <mergeCell ref="G439:K452"/>
    <mergeCell ref="A405:F406"/>
    <mergeCell ref="G405:K406"/>
    <mergeCell ref="A407:F420"/>
    <mergeCell ref="G407:K420"/>
    <mergeCell ref="A421:F422"/>
    <mergeCell ref="G421:K422"/>
    <mergeCell ref="A375:F388"/>
    <mergeCell ref="G375:K388"/>
    <mergeCell ref="A389:F390"/>
    <mergeCell ref="G389:K390"/>
    <mergeCell ref="A391:F404"/>
    <mergeCell ref="G391:K404"/>
    <mergeCell ref="A357:F358"/>
    <mergeCell ref="G357:K358"/>
    <mergeCell ref="A359:F372"/>
    <mergeCell ref="G359:K372"/>
    <mergeCell ref="A373:F374"/>
    <mergeCell ref="G373:K374"/>
    <mergeCell ref="A327:F340"/>
    <mergeCell ref="G327:K340"/>
    <mergeCell ref="A341:F342"/>
    <mergeCell ref="G341:K342"/>
    <mergeCell ref="A343:F356"/>
    <mergeCell ref="G343:K356"/>
    <mergeCell ref="A308:F309"/>
    <mergeCell ref="G308:K309"/>
    <mergeCell ref="A310:F324"/>
    <mergeCell ref="G310:K324"/>
    <mergeCell ref="A325:F326"/>
    <mergeCell ref="G325:K326"/>
    <mergeCell ref="A276:F290"/>
    <mergeCell ref="G276:K290"/>
    <mergeCell ref="A291:F292"/>
    <mergeCell ref="G291:K292"/>
    <mergeCell ref="A293:F307"/>
    <mergeCell ref="G293:K307"/>
    <mergeCell ref="A245:F246"/>
    <mergeCell ref="G245:K246"/>
    <mergeCell ref="A260:F273"/>
    <mergeCell ref="G260:K273"/>
    <mergeCell ref="A274:F275"/>
    <mergeCell ref="G274:K275"/>
    <mergeCell ref="A215:F228"/>
    <mergeCell ref="G215:K228"/>
    <mergeCell ref="A229:F230"/>
    <mergeCell ref="G229:K230"/>
    <mergeCell ref="A231:F244"/>
    <mergeCell ref="G231:K244"/>
    <mergeCell ref="A197:F198"/>
    <mergeCell ref="G197:K198"/>
    <mergeCell ref="A199:F212"/>
    <mergeCell ref="G199:K212"/>
    <mergeCell ref="A213:F214"/>
    <mergeCell ref="G213:K214"/>
    <mergeCell ref="A167:F180"/>
    <mergeCell ref="G167:K180"/>
    <mergeCell ref="A181:F182"/>
    <mergeCell ref="G181:K182"/>
    <mergeCell ref="A183:F196"/>
    <mergeCell ref="G183:K196"/>
    <mergeCell ref="A150:F163"/>
    <mergeCell ref="G150:K163"/>
    <mergeCell ref="A164:F165"/>
    <mergeCell ref="G164:K165"/>
    <mergeCell ref="A166:F166"/>
    <mergeCell ref="G166:K166"/>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 ref="A36:F37"/>
    <mergeCell ref="G36:K37"/>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1:L101"/>
  <sheetViews>
    <sheetView zoomScale="85" zoomScaleNormal="85" zoomScaleSheetLayoutView="100" zoomScalePageLayoutView="90" workbookViewId="0">
      <selection activeCell="L111" sqref="L111"/>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2" style="131" customWidth="1"/>
    <col min="7" max="7" width="8.42578125" style="131" customWidth="1"/>
    <col min="8" max="8" width="8.5703125" style="131" customWidth="1"/>
    <col min="9" max="9" width="20.28515625" style="131" customWidth="1"/>
    <col min="10" max="10" width="9.140625" style="131" customWidth="1"/>
    <col min="11" max="11" width="6.28515625" style="131" customWidth="1"/>
    <col min="12" max="12" width="8.85546875" style="131" customWidth="1"/>
    <col min="13" max="13" width="11.42578125" style="131" customWidth="1"/>
    <col min="14" max="16384" width="11.42578125" style="131"/>
  </cols>
  <sheetData>
    <row r="1" spans="2:12" ht="27.75" customHeight="1" x14ac:dyDescent="0.25">
      <c r="B1" s="939" t="s">
        <v>252</v>
      </c>
      <c r="C1" s="871"/>
      <c r="D1" s="871"/>
      <c r="E1" s="871"/>
      <c r="F1" s="871"/>
      <c r="G1" s="871"/>
      <c r="H1" s="871"/>
      <c r="I1" s="871"/>
      <c r="J1" s="871"/>
      <c r="K1" s="871"/>
      <c r="L1" s="921"/>
    </row>
    <row r="2" spans="2:12" ht="11.25" customHeight="1" x14ac:dyDescent="0.25">
      <c r="B2" s="940"/>
      <c r="C2" s="872"/>
      <c r="D2" s="872"/>
      <c r="E2" s="872"/>
      <c r="F2" s="872"/>
      <c r="G2" s="872"/>
      <c r="H2" s="872"/>
      <c r="I2" s="872"/>
      <c r="J2" s="872"/>
      <c r="K2" s="872"/>
      <c r="L2" s="923"/>
    </row>
    <row r="3" spans="2:12" ht="24.95" customHeight="1" x14ac:dyDescent="0.25">
      <c r="B3" s="1031" t="s">
        <v>290</v>
      </c>
      <c r="C3" s="924"/>
      <c r="D3" s="924"/>
      <c r="E3" s="925"/>
      <c r="F3" s="97">
        <v>44181</v>
      </c>
      <c r="G3" s="926" t="s">
        <v>291</v>
      </c>
      <c r="H3" s="924"/>
      <c r="I3" s="925"/>
      <c r="J3" s="927">
        <v>44187</v>
      </c>
      <c r="K3" s="924"/>
      <c r="L3" s="1032"/>
    </row>
    <row r="4" spans="2:12" x14ac:dyDescent="0.25">
      <c r="B4" s="943" t="s">
        <v>251</v>
      </c>
      <c r="C4" s="928"/>
      <c r="D4" s="928"/>
      <c r="E4" s="928"/>
      <c r="F4" s="928"/>
      <c r="G4" s="928"/>
      <c r="H4" s="929"/>
      <c r="I4" s="347" t="s">
        <v>490</v>
      </c>
      <c r="J4" s="347" t="s">
        <v>2</v>
      </c>
      <c r="K4" s="1033" t="s">
        <v>0</v>
      </c>
      <c r="L4" s="1034"/>
    </row>
    <row r="5" spans="2:12" x14ac:dyDescent="0.25">
      <c r="B5" s="1013"/>
      <c r="C5" s="930"/>
      <c r="D5" s="930"/>
      <c r="E5" s="930"/>
      <c r="F5" s="930"/>
      <c r="G5" s="930"/>
      <c r="H5" s="931"/>
      <c r="I5" s="297" t="s">
        <v>491</v>
      </c>
      <c r="J5" s="347">
        <v>2</v>
      </c>
      <c r="K5" s="1033" t="s">
        <v>292</v>
      </c>
      <c r="L5" s="1034"/>
    </row>
    <row r="6" spans="2:12" ht="15.75" customHeight="1" x14ac:dyDescent="0.25">
      <c r="B6" s="886" t="s">
        <v>453</v>
      </c>
      <c r="C6" s="887"/>
      <c r="D6" s="887"/>
      <c r="E6" s="887"/>
      <c r="F6" s="887"/>
      <c r="G6" s="888"/>
      <c r="H6" s="886" t="s">
        <v>454</v>
      </c>
      <c r="I6" s="887"/>
      <c r="J6" s="887"/>
      <c r="K6" s="887"/>
      <c r="L6" s="888"/>
    </row>
    <row r="7" spans="2:12" x14ac:dyDescent="0.25">
      <c r="B7" s="886"/>
      <c r="C7" s="887"/>
      <c r="D7" s="887"/>
      <c r="E7" s="887"/>
      <c r="F7" s="887"/>
      <c r="G7" s="888"/>
      <c r="H7" s="886"/>
      <c r="I7" s="887"/>
      <c r="J7" s="887"/>
      <c r="K7" s="887"/>
      <c r="L7" s="888"/>
    </row>
    <row r="8" spans="2:12" x14ac:dyDescent="0.25">
      <c r="B8" s="886"/>
      <c r="C8" s="887"/>
      <c r="D8" s="887"/>
      <c r="E8" s="887"/>
      <c r="F8" s="887"/>
      <c r="G8" s="888"/>
      <c r="H8" s="886"/>
      <c r="I8" s="887"/>
      <c r="J8" s="887"/>
      <c r="K8" s="887"/>
      <c r="L8" s="888"/>
    </row>
    <row r="9" spans="2:12" x14ac:dyDescent="0.25">
      <c r="B9" s="886"/>
      <c r="C9" s="887"/>
      <c r="D9" s="887"/>
      <c r="E9" s="887"/>
      <c r="F9" s="887"/>
      <c r="G9" s="888"/>
      <c r="H9" s="886"/>
      <c r="I9" s="887"/>
      <c r="J9" s="887"/>
      <c r="K9" s="887"/>
      <c r="L9" s="888"/>
    </row>
    <row r="10" spans="2:12" x14ac:dyDescent="0.25">
      <c r="B10" s="886"/>
      <c r="C10" s="887"/>
      <c r="D10" s="887"/>
      <c r="E10" s="887"/>
      <c r="F10" s="887"/>
      <c r="G10" s="888"/>
      <c r="H10" s="886"/>
      <c r="I10" s="887"/>
      <c r="J10" s="887"/>
      <c r="K10" s="887"/>
      <c r="L10" s="888"/>
    </row>
    <row r="11" spans="2:12" x14ac:dyDescent="0.25">
      <c r="B11" s="886"/>
      <c r="C11" s="887"/>
      <c r="D11" s="887"/>
      <c r="E11" s="887"/>
      <c r="F11" s="887"/>
      <c r="G11" s="888"/>
      <c r="H11" s="886"/>
      <c r="I11" s="887"/>
      <c r="J11" s="887"/>
      <c r="K11" s="887"/>
      <c r="L11" s="888"/>
    </row>
    <row r="12" spans="2:12" x14ac:dyDescent="0.25">
      <c r="B12" s="886"/>
      <c r="C12" s="887"/>
      <c r="D12" s="887"/>
      <c r="E12" s="887"/>
      <c r="F12" s="887"/>
      <c r="G12" s="888"/>
      <c r="H12" s="886"/>
      <c r="I12" s="887"/>
      <c r="J12" s="887"/>
      <c r="K12" s="887"/>
      <c r="L12" s="888"/>
    </row>
    <row r="13" spans="2:12" x14ac:dyDescent="0.25">
      <c r="B13" s="886"/>
      <c r="C13" s="887"/>
      <c r="D13" s="887"/>
      <c r="E13" s="887"/>
      <c r="F13" s="887"/>
      <c r="G13" s="888"/>
      <c r="H13" s="886"/>
      <c r="I13" s="887"/>
      <c r="J13" s="887"/>
      <c r="K13" s="887"/>
      <c r="L13" s="888"/>
    </row>
    <row r="14" spans="2:12" x14ac:dyDescent="0.25">
      <c r="B14" s="886"/>
      <c r="C14" s="887"/>
      <c r="D14" s="887"/>
      <c r="E14" s="887"/>
      <c r="F14" s="887"/>
      <c r="G14" s="888"/>
      <c r="H14" s="886"/>
      <c r="I14" s="887"/>
      <c r="J14" s="887"/>
      <c r="K14" s="887"/>
      <c r="L14" s="888"/>
    </row>
    <row r="15" spans="2:12" x14ac:dyDescent="0.25">
      <c r="B15" s="886"/>
      <c r="C15" s="887"/>
      <c r="D15" s="887"/>
      <c r="E15" s="887"/>
      <c r="F15" s="887"/>
      <c r="G15" s="888"/>
      <c r="H15" s="886"/>
      <c r="I15" s="887"/>
      <c r="J15" s="887"/>
      <c r="K15" s="887"/>
      <c r="L15" s="888"/>
    </row>
    <row r="16" spans="2:12" x14ac:dyDescent="0.25">
      <c r="B16" s="886"/>
      <c r="C16" s="887"/>
      <c r="D16" s="887"/>
      <c r="E16" s="887"/>
      <c r="F16" s="887"/>
      <c r="G16" s="888"/>
      <c r="H16" s="886"/>
      <c r="I16" s="887"/>
      <c r="J16" s="887"/>
      <c r="K16" s="887"/>
      <c r="L16" s="888"/>
    </row>
    <row r="17" spans="2:12" x14ac:dyDescent="0.25">
      <c r="B17" s="886"/>
      <c r="C17" s="887"/>
      <c r="D17" s="887"/>
      <c r="E17" s="887"/>
      <c r="F17" s="887"/>
      <c r="G17" s="888"/>
      <c r="H17" s="886"/>
      <c r="I17" s="887"/>
      <c r="J17" s="887"/>
      <c r="K17" s="887"/>
      <c r="L17" s="888"/>
    </row>
    <row r="18" spans="2:12" x14ac:dyDescent="0.25">
      <c r="B18" s="886"/>
      <c r="C18" s="887"/>
      <c r="D18" s="887"/>
      <c r="E18" s="887"/>
      <c r="F18" s="887"/>
      <c r="G18" s="888"/>
      <c r="H18" s="886"/>
      <c r="I18" s="887"/>
      <c r="J18" s="887"/>
      <c r="K18" s="887"/>
      <c r="L18" s="888"/>
    </row>
    <row r="19" spans="2:12" ht="15.75" thickBot="1" x14ac:dyDescent="0.3">
      <c r="B19" s="886"/>
      <c r="C19" s="887"/>
      <c r="D19" s="887"/>
      <c r="E19" s="887"/>
      <c r="F19" s="887"/>
      <c r="G19" s="888"/>
      <c r="H19" s="886"/>
      <c r="I19" s="887"/>
      <c r="J19" s="887"/>
      <c r="K19" s="887"/>
      <c r="L19" s="888"/>
    </row>
    <row r="20" spans="2:12" ht="15" customHeight="1" x14ac:dyDescent="0.25">
      <c r="B20" s="1035" t="s">
        <v>1109</v>
      </c>
      <c r="C20" s="1036"/>
      <c r="D20" s="1036"/>
      <c r="E20" s="1036"/>
      <c r="F20" s="1036"/>
      <c r="G20" s="1037"/>
      <c r="H20" s="1035" t="s">
        <v>1345</v>
      </c>
      <c r="I20" s="1036"/>
      <c r="J20" s="1036"/>
      <c r="K20" s="1036"/>
      <c r="L20" s="1037"/>
    </row>
    <row r="21" spans="2:12" ht="18" customHeight="1" thickBot="1" x14ac:dyDescent="0.3">
      <c r="B21" s="1038"/>
      <c r="C21" s="1039"/>
      <c r="D21" s="1039"/>
      <c r="E21" s="1039"/>
      <c r="F21" s="1039"/>
      <c r="G21" s="1040"/>
      <c r="H21" s="1038"/>
      <c r="I21" s="1039"/>
      <c r="J21" s="1039"/>
      <c r="K21" s="1039"/>
      <c r="L21" s="1040"/>
    </row>
    <row r="22" spans="2:12" ht="15.75" customHeight="1" x14ac:dyDescent="0.25">
      <c r="B22" s="901" t="s">
        <v>502</v>
      </c>
      <c r="C22" s="902"/>
      <c r="D22" s="902"/>
      <c r="E22" s="902"/>
      <c r="F22" s="902"/>
      <c r="G22" s="903"/>
      <c r="H22" s="901" t="s">
        <v>503</v>
      </c>
      <c r="I22" s="902"/>
      <c r="J22" s="902"/>
      <c r="K22" s="902"/>
      <c r="L22" s="903"/>
    </row>
    <row r="23" spans="2:12" x14ac:dyDescent="0.25">
      <c r="B23" s="886"/>
      <c r="C23" s="887"/>
      <c r="D23" s="887"/>
      <c r="E23" s="887"/>
      <c r="F23" s="887"/>
      <c r="G23" s="888"/>
      <c r="H23" s="886"/>
      <c r="I23" s="887"/>
      <c r="J23" s="887"/>
      <c r="K23" s="887"/>
      <c r="L23" s="888"/>
    </row>
    <row r="24" spans="2:12" x14ac:dyDescent="0.25">
      <c r="B24" s="886"/>
      <c r="C24" s="887"/>
      <c r="D24" s="887"/>
      <c r="E24" s="887"/>
      <c r="F24" s="887"/>
      <c r="G24" s="888"/>
      <c r="H24" s="886"/>
      <c r="I24" s="887"/>
      <c r="J24" s="887"/>
      <c r="K24" s="887"/>
      <c r="L24" s="888"/>
    </row>
    <row r="25" spans="2:12" x14ac:dyDescent="0.25">
      <c r="B25" s="886"/>
      <c r="C25" s="887"/>
      <c r="D25" s="887"/>
      <c r="E25" s="887"/>
      <c r="F25" s="887"/>
      <c r="G25" s="888"/>
      <c r="H25" s="886"/>
      <c r="I25" s="887"/>
      <c r="J25" s="887"/>
      <c r="K25" s="887"/>
      <c r="L25" s="888"/>
    </row>
    <row r="26" spans="2:12" x14ac:dyDescent="0.25">
      <c r="B26" s="886"/>
      <c r="C26" s="887"/>
      <c r="D26" s="887"/>
      <c r="E26" s="887"/>
      <c r="F26" s="887"/>
      <c r="G26" s="888"/>
      <c r="H26" s="886"/>
      <c r="I26" s="887"/>
      <c r="J26" s="887"/>
      <c r="K26" s="887"/>
      <c r="L26" s="888"/>
    </row>
    <row r="27" spans="2:12" x14ac:dyDescent="0.25">
      <c r="B27" s="886"/>
      <c r="C27" s="887"/>
      <c r="D27" s="887"/>
      <c r="E27" s="887"/>
      <c r="F27" s="887"/>
      <c r="G27" s="888"/>
      <c r="H27" s="886"/>
      <c r="I27" s="887"/>
      <c r="J27" s="887"/>
      <c r="K27" s="887"/>
      <c r="L27" s="888"/>
    </row>
    <row r="28" spans="2:12" x14ac:dyDescent="0.25">
      <c r="B28" s="886"/>
      <c r="C28" s="887"/>
      <c r="D28" s="887"/>
      <c r="E28" s="887"/>
      <c r="F28" s="887"/>
      <c r="G28" s="888"/>
      <c r="H28" s="886"/>
      <c r="I28" s="887"/>
      <c r="J28" s="887"/>
      <c r="K28" s="887"/>
      <c r="L28" s="888"/>
    </row>
    <row r="29" spans="2:12" x14ac:dyDescent="0.25">
      <c r="B29" s="886"/>
      <c r="C29" s="887"/>
      <c r="D29" s="887"/>
      <c r="E29" s="887"/>
      <c r="F29" s="887"/>
      <c r="G29" s="888"/>
      <c r="H29" s="886"/>
      <c r="I29" s="887"/>
      <c r="J29" s="887"/>
      <c r="K29" s="887"/>
      <c r="L29" s="888"/>
    </row>
    <row r="30" spans="2:12" x14ac:dyDescent="0.25">
      <c r="B30" s="886"/>
      <c r="C30" s="887"/>
      <c r="D30" s="887"/>
      <c r="E30" s="887"/>
      <c r="F30" s="887"/>
      <c r="G30" s="888"/>
      <c r="H30" s="886"/>
      <c r="I30" s="887"/>
      <c r="J30" s="887"/>
      <c r="K30" s="887"/>
      <c r="L30" s="888"/>
    </row>
    <row r="31" spans="2:12" x14ac:dyDescent="0.25">
      <c r="B31" s="886"/>
      <c r="C31" s="887"/>
      <c r="D31" s="887"/>
      <c r="E31" s="887"/>
      <c r="F31" s="887"/>
      <c r="G31" s="888"/>
      <c r="H31" s="886"/>
      <c r="I31" s="887"/>
      <c r="J31" s="887"/>
      <c r="K31" s="887"/>
      <c r="L31" s="888"/>
    </row>
    <row r="32" spans="2:12" x14ac:dyDescent="0.25">
      <c r="B32" s="886"/>
      <c r="C32" s="887"/>
      <c r="D32" s="887"/>
      <c r="E32" s="887"/>
      <c r="F32" s="887"/>
      <c r="G32" s="888"/>
      <c r="H32" s="886"/>
      <c r="I32" s="887"/>
      <c r="J32" s="887"/>
      <c r="K32" s="887"/>
      <c r="L32" s="888"/>
    </row>
    <row r="33" spans="2:12" x14ac:dyDescent="0.25">
      <c r="B33" s="886"/>
      <c r="C33" s="887"/>
      <c r="D33" s="887"/>
      <c r="E33" s="887"/>
      <c r="F33" s="887"/>
      <c r="G33" s="888"/>
      <c r="H33" s="886"/>
      <c r="I33" s="887"/>
      <c r="J33" s="887"/>
      <c r="K33" s="887"/>
      <c r="L33" s="888"/>
    </row>
    <row r="34" spans="2:12" x14ac:dyDescent="0.25">
      <c r="B34" s="886"/>
      <c r="C34" s="887"/>
      <c r="D34" s="887"/>
      <c r="E34" s="887"/>
      <c r="F34" s="887"/>
      <c r="G34" s="888"/>
      <c r="H34" s="886"/>
      <c r="I34" s="887"/>
      <c r="J34" s="887"/>
      <c r="K34" s="887"/>
      <c r="L34" s="888"/>
    </row>
    <row r="35" spans="2:12" ht="15.75" thickBot="1" x14ac:dyDescent="0.3">
      <c r="B35" s="886"/>
      <c r="C35" s="887"/>
      <c r="D35" s="887"/>
      <c r="E35" s="887"/>
      <c r="F35" s="887"/>
      <c r="G35" s="888"/>
      <c r="H35" s="886"/>
      <c r="I35" s="887"/>
      <c r="J35" s="887"/>
      <c r="K35" s="887"/>
      <c r="L35" s="888"/>
    </row>
    <row r="36" spans="2:12" ht="15" customHeight="1" x14ac:dyDescent="0.25">
      <c r="B36" s="1035" t="s">
        <v>1346</v>
      </c>
      <c r="C36" s="1036"/>
      <c r="D36" s="1036"/>
      <c r="E36" s="1036"/>
      <c r="F36" s="1036"/>
      <c r="G36" s="1037"/>
      <c r="H36" s="1035" t="s">
        <v>1347</v>
      </c>
      <c r="I36" s="1036"/>
      <c r="J36" s="1036"/>
      <c r="K36" s="1036"/>
      <c r="L36" s="1037"/>
    </row>
    <row r="37" spans="2:12" ht="18" customHeight="1" thickBot="1" x14ac:dyDescent="0.3">
      <c r="B37" s="1038"/>
      <c r="C37" s="1039"/>
      <c r="D37" s="1039"/>
      <c r="E37" s="1039"/>
      <c r="F37" s="1039"/>
      <c r="G37" s="1040"/>
      <c r="H37" s="1038"/>
      <c r="I37" s="1039"/>
      <c r="J37" s="1039"/>
      <c r="K37" s="1039"/>
      <c r="L37" s="1040"/>
    </row>
    <row r="38" spans="2:12" x14ac:dyDescent="0.25">
      <c r="B38" s="901" t="s">
        <v>504</v>
      </c>
      <c r="C38" s="902"/>
      <c r="D38" s="902"/>
      <c r="E38" s="902"/>
      <c r="F38" s="902"/>
      <c r="G38" s="903"/>
      <c r="H38" s="901" t="s">
        <v>505</v>
      </c>
      <c r="I38" s="902"/>
      <c r="J38" s="902"/>
      <c r="K38" s="902"/>
      <c r="L38" s="903"/>
    </row>
    <row r="39" spans="2:12" x14ac:dyDescent="0.25">
      <c r="B39" s="886"/>
      <c r="C39" s="887"/>
      <c r="D39" s="887"/>
      <c r="E39" s="887"/>
      <c r="F39" s="887"/>
      <c r="G39" s="888"/>
      <c r="H39" s="886"/>
      <c r="I39" s="887"/>
      <c r="J39" s="887"/>
      <c r="K39" s="887"/>
      <c r="L39" s="888"/>
    </row>
    <row r="40" spans="2:12" x14ac:dyDescent="0.25">
      <c r="B40" s="886"/>
      <c r="C40" s="887"/>
      <c r="D40" s="887"/>
      <c r="E40" s="887"/>
      <c r="F40" s="887"/>
      <c r="G40" s="888"/>
      <c r="H40" s="886"/>
      <c r="I40" s="887"/>
      <c r="J40" s="887"/>
      <c r="K40" s="887"/>
      <c r="L40" s="888"/>
    </row>
    <row r="41" spans="2:12" x14ac:dyDescent="0.25">
      <c r="B41" s="886"/>
      <c r="C41" s="887"/>
      <c r="D41" s="887"/>
      <c r="E41" s="887"/>
      <c r="F41" s="887"/>
      <c r="G41" s="888"/>
      <c r="H41" s="886"/>
      <c r="I41" s="887"/>
      <c r="J41" s="887"/>
      <c r="K41" s="887"/>
      <c r="L41" s="888"/>
    </row>
    <row r="42" spans="2:12" x14ac:dyDescent="0.25">
      <c r="B42" s="886"/>
      <c r="C42" s="887"/>
      <c r="D42" s="887"/>
      <c r="E42" s="887"/>
      <c r="F42" s="887"/>
      <c r="G42" s="888"/>
      <c r="H42" s="886"/>
      <c r="I42" s="887"/>
      <c r="J42" s="887"/>
      <c r="K42" s="887"/>
      <c r="L42" s="888"/>
    </row>
    <row r="43" spans="2:12" x14ac:dyDescent="0.25">
      <c r="B43" s="886"/>
      <c r="C43" s="887"/>
      <c r="D43" s="887"/>
      <c r="E43" s="887"/>
      <c r="F43" s="887"/>
      <c r="G43" s="888"/>
      <c r="H43" s="886"/>
      <c r="I43" s="887"/>
      <c r="J43" s="887"/>
      <c r="K43" s="887"/>
      <c r="L43" s="888"/>
    </row>
    <row r="44" spans="2:12" x14ac:dyDescent="0.25">
      <c r="B44" s="886"/>
      <c r="C44" s="887"/>
      <c r="D44" s="887"/>
      <c r="E44" s="887"/>
      <c r="F44" s="887"/>
      <c r="G44" s="888"/>
      <c r="H44" s="886"/>
      <c r="I44" s="887"/>
      <c r="J44" s="887"/>
      <c r="K44" s="887"/>
      <c r="L44" s="888"/>
    </row>
    <row r="45" spans="2:12" x14ac:dyDescent="0.25">
      <c r="B45" s="886"/>
      <c r="C45" s="887"/>
      <c r="D45" s="887"/>
      <c r="E45" s="887"/>
      <c r="F45" s="887"/>
      <c r="G45" s="888"/>
      <c r="H45" s="886"/>
      <c r="I45" s="887"/>
      <c r="J45" s="887"/>
      <c r="K45" s="887"/>
      <c r="L45" s="888"/>
    </row>
    <row r="46" spans="2:12" x14ac:dyDescent="0.25">
      <c r="B46" s="886"/>
      <c r="C46" s="887"/>
      <c r="D46" s="887"/>
      <c r="E46" s="887"/>
      <c r="F46" s="887"/>
      <c r="G46" s="888"/>
      <c r="H46" s="886"/>
      <c r="I46" s="887"/>
      <c r="J46" s="887"/>
      <c r="K46" s="887"/>
      <c r="L46" s="888"/>
    </row>
    <row r="47" spans="2:12" x14ac:dyDescent="0.25">
      <c r="B47" s="886"/>
      <c r="C47" s="887"/>
      <c r="D47" s="887"/>
      <c r="E47" s="887"/>
      <c r="F47" s="887"/>
      <c r="G47" s="888"/>
      <c r="H47" s="886"/>
      <c r="I47" s="887"/>
      <c r="J47" s="887"/>
      <c r="K47" s="887"/>
      <c r="L47" s="888"/>
    </row>
    <row r="48" spans="2:12" x14ac:dyDescent="0.25">
      <c r="B48" s="886"/>
      <c r="C48" s="887"/>
      <c r="D48" s="887"/>
      <c r="E48" s="887"/>
      <c r="F48" s="887"/>
      <c r="G48" s="888"/>
      <c r="H48" s="886"/>
      <c r="I48" s="887"/>
      <c r="J48" s="887"/>
      <c r="K48" s="887"/>
      <c r="L48" s="888"/>
    </row>
    <row r="49" spans="2:12" x14ac:dyDescent="0.25">
      <c r="B49" s="886"/>
      <c r="C49" s="887"/>
      <c r="D49" s="887"/>
      <c r="E49" s="887"/>
      <c r="F49" s="887"/>
      <c r="G49" s="888"/>
      <c r="H49" s="886"/>
      <c r="I49" s="887"/>
      <c r="J49" s="887"/>
      <c r="K49" s="887"/>
      <c r="L49" s="888"/>
    </row>
    <row r="50" spans="2:12" x14ac:dyDescent="0.25">
      <c r="B50" s="886"/>
      <c r="C50" s="887"/>
      <c r="D50" s="887"/>
      <c r="E50" s="887"/>
      <c r="F50" s="887"/>
      <c r="G50" s="888"/>
      <c r="H50" s="886"/>
      <c r="I50" s="887"/>
      <c r="J50" s="887"/>
      <c r="K50" s="887"/>
      <c r="L50" s="888"/>
    </row>
    <row r="51" spans="2:12" ht="15.75" thickBot="1" x14ac:dyDescent="0.3">
      <c r="B51" s="886"/>
      <c r="C51" s="887"/>
      <c r="D51" s="887"/>
      <c r="E51" s="887"/>
      <c r="F51" s="887"/>
      <c r="G51" s="888"/>
      <c r="H51" s="886"/>
      <c r="I51" s="887"/>
      <c r="J51" s="887"/>
      <c r="K51" s="887"/>
      <c r="L51" s="888"/>
    </row>
    <row r="52" spans="2:12" ht="15" customHeight="1" x14ac:dyDescent="0.25">
      <c r="B52" s="1035" t="s">
        <v>1348</v>
      </c>
      <c r="C52" s="1036"/>
      <c r="D52" s="1036"/>
      <c r="E52" s="1036"/>
      <c r="F52" s="1036"/>
      <c r="G52" s="1037"/>
      <c r="H52" s="1041" t="s">
        <v>1349</v>
      </c>
      <c r="I52" s="1042"/>
      <c r="J52" s="1042"/>
      <c r="K52" s="1042"/>
      <c r="L52" s="1043"/>
    </row>
    <row r="53" spans="2:12" ht="15.75" thickBot="1" x14ac:dyDescent="0.3">
      <c r="B53" s="1038"/>
      <c r="C53" s="1039"/>
      <c r="D53" s="1039"/>
      <c r="E53" s="1039"/>
      <c r="F53" s="1039"/>
      <c r="G53" s="1040"/>
      <c r="H53" s="1044"/>
      <c r="I53" s="1045"/>
      <c r="J53" s="1045"/>
      <c r="K53" s="1045"/>
      <c r="L53" s="1046"/>
    </row>
    <row r="54" spans="2:12" x14ac:dyDescent="0.25">
      <c r="B54" s="901" t="s">
        <v>504</v>
      </c>
      <c r="C54" s="902"/>
      <c r="D54" s="902"/>
      <c r="E54" s="902"/>
      <c r="F54" s="902"/>
      <c r="G54" s="903"/>
      <c r="H54" s="901" t="s">
        <v>505</v>
      </c>
      <c r="I54" s="902"/>
      <c r="J54" s="902"/>
      <c r="K54" s="902"/>
      <c r="L54" s="903"/>
    </row>
    <row r="55" spans="2:12" x14ac:dyDescent="0.25">
      <c r="B55" s="886"/>
      <c r="C55" s="887"/>
      <c r="D55" s="887"/>
      <c r="E55" s="887"/>
      <c r="F55" s="887"/>
      <c r="G55" s="888"/>
      <c r="H55" s="886"/>
      <c r="I55" s="887"/>
      <c r="J55" s="887"/>
      <c r="K55" s="887"/>
      <c r="L55" s="888"/>
    </row>
    <row r="56" spans="2:12" x14ac:dyDescent="0.25">
      <c r="B56" s="886"/>
      <c r="C56" s="887"/>
      <c r="D56" s="887"/>
      <c r="E56" s="887"/>
      <c r="F56" s="887"/>
      <c r="G56" s="888"/>
      <c r="H56" s="886"/>
      <c r="I56" s="887"/>
      <c r="J56" s="887"/>
      <c r="K56" s="887"/>
      <c r="L56" s="888"/>
    </row>
    <row r="57" spans="2:12" x14ac:dyDescent="0.25">
      <c r="B57" s="886"/>
      <c r="C57" s="887"/>
      <c r="D57" s="887"/>
      <c r="E57" s="887"/>
      <c r="F57" s="887"/>
      <c r="G57" s="888"/>
      <c r="H57" s="886"/>
      <c r="I57" s="887"/>
      <c r="J57" s="887"/>
      <c r="K57" s="887"/>
      <c r="L57" s="888"/>
    </row>
    <row r="58" spans="2:12" x14ac:dyDescent="0.25">
      <c r="B58" s="886"/>
      <c r="C58" s="887"/>
      <c r="D58" s="887"/>
      <c r="E58" s="887"/>
      <c r="F58" s="887"/>
      <c r="G58" s="888"/>
      <c r="H58" s="886"/>
      <c r="I58" s="887"/>
      <c r="J58" s="887"/>
      <c r="K58" s="887"/>
      <c r="L58" s="888"/>
    </row>
    <row r="59" spans="2:12" x14ac:dyDescent="0.25">
      <c r="B59" s="886"/>
      <c r="C59" s="887"/>
      <c r="D59" s="887"/>
      <c r="E59" s="887"/>
      <c r="F59" s="887"/>
      <c r="G59" s="888"/>
      <c r="H59" s="886"/>
      <c r="I59" s="887"/>
      <c r="J59" s="887"/>
      <c r="K59" s="887"/>
      <c r="L59" s="888"/>
    </row>
    <row r="60" spans="2:12" x14ac:dyDescent="0.25">
      <c r="B60" s="886"/>
      <c r="C60" s="887"/>
      <c r="D60" s="887"/>
      <c r="E60" s="887"/>
      <c r="F60" s="887"/>
      <c r="G60" s="888"/>
      <c r="H60" s="886"/>
      <c r="I60" s="887"/>
      <c r="J60" s="887"/>
      <c r="K60" s="887"/>
      <c r="L60" s="888"/>
    </row>
    <row r="61" spans="2:12" x14ac:dyDescent="0.25">
      <c r="B61" s="886"/>
      <c r="C61" s="887"/>
      <c r="D61" s="887"/>
      <c r="E61" s="887"/>
      <c r="F61" s="887"/>
      <c r="G61" s="888"/>
      <c r="H61" s="886"/>
      <c r="I61" s="887"/>
      <c r="J61" s="887"/>
      <c r="K61" s="887"/>
      <c r="L61" s="888"/>
    </row>
    <row r="62" spans="2:12" x14ac:dyDescent="0.25">
      <c r="B62" s="886"/>
      <c r="C62" s="887"/>
      <c r="D62" s="887"/>
      <c r="E62" s="887"/>
      <c r="F62" s="887"/>
      <c r="G62" s="888"/>
      <c r="H62" s="886"/>
      <c r="I62" s="887"/>
      <c r="J62" s="887"/>
      <c r="K62" s="887"/>
      <c r="L62" s="888"/>
    </row>
    <row r="63" spans="2:12" x14ac:dyDescent="0.25">
      <c r="B63" s="886"/>
      <c r="C63" s="887"/>
      <c r="D63" s="887"/>
      <c r="E63" s="887"/>
      <c r="F63" s="887"/>
      <c r="G63" s="888"/>
      <c r="H63" s="886"/>
      <c r="I63" s="887"/>
      <c r="J63" s="887"/>
      <c r="K63" s="887"/>
      <c r="L63" s="888"/>
    </row>
    <row r="64" spans="2:12" x14ac:dyDescent="0.25">
      <c r="B64" s="886"/>
      <c r="C64" s="887"/>
      <c r="D64" s="887"/>
      <c r="E64" s="887"/>
      <c r="F64" s="887"/>
      <c r="G64" s="888"/>
      <c r="H64" s="886"/>
      <c r="I64" s="887"/>
      <c r="J64" s="887"/>
      <c r="K64" s="887"/>
      <c r="L64" s="888"/>
    </row>
    <row r="65" spans="2:12" x14ac:dyDescent="0.25">
      <c r="B65" s="886"/>
      <c r="C65" s="887"/>
      <c r="D65" s="887"/>
      <c r="E65" s="887"/>
      <c r="F65" s="887"/>
      <c r="G65" s="888"/>
      <c r="H65" s="886"/>
      <c r="I65" s="887"/>
      <c r="J65" s="887"/>
      <c r="K65" s="887"/>
      <c r="L65" s="888"/>
    </row>
    <row r="66" spans="2:12" x14ac:dyDescent="0.25">
      <c r="B66" s="886"/>
      <c r="C66" s="887"/>
      <c r="D66" s="887"/>
      <c r="E66" s="887"/>
      <c r="F66" s="887"/>
      <c r="G66" s="888"/>
      <c r="H66" s="886"/>
      <c r="I66" s="887"/>
      <c r="J66" s="887"/>
      <c r="K66" s="887"/>
      <c r="L66" s="888"/>
    </row>
    <row r="67" spans="2:12" ht="15.75" thickBot="1" x14ac:dyDescent="0.3">
      <c r="B67" s="886"/>
      <c r="C67" s="887"/>
      <c r="D67" s="887"/>
      <c r="E67" s="887"/>
      <c r="F67" s="887"/>
      <c r="G67" s="888"/>
      <c r="H67" s="886"/>
      <c r="I67" s="887"/>
      <c r="J67" s="887"/>
      <c r="K67" s="887"/>
      <c r="L67" s="888"/>
    </row>
    <row r="68" spans="2:12" ht="15" customHeight="1" x14ac:dyDescent="0.25">
      <c r="B68" s="1041" t="s">
        <v>1350</v>
      </c>
      <c r="C68" s="1042"/>
      <c r="D68" s="1042"/>
      <c r="E68" s="1042"/>
      <c r="F68" s="1042"/>
      <c r="G68" s="1043"/>
      <c r="H68" s="1041" t="s">
        <v>1351</v>
      </c>
      <c r="I68" s="1042"/>
      <c r="J68" s="1042"/>
      <c r="K68" s="1042"/>
      <c r="L68" s="1043"/>
    </row>
    <row r="69" spans="2:12" ht="15.75" thickBot="1" x14ac:dyDescent="0.3">
      <c r="B69" s="1044"/>
      <c r="C69" s="1045"/>
      <c r="D69" s="1045"/>
      <c r="E69" s="1045"/>
      <c r="F69" s="1045"/>
      <c r="G69" s="1046"/>
      <c r="H69" s="1044"/>
      <c r="I69" s="1045"/>
      <c r="J69" s="1045"/>
      <c r="K69" s="1045"/>
      <c r="L69" s="1046"/>
    </row>
    <row r="70" spans="2:12" x14ac:dyDescent="0.25">
      <c r="B70" s="901" t="s">
        <v>1092</v>
      </c>
      <c r="C70" s="902"/>
      <c r="D70" s="902"/>
      <c r="E70" s="902"/>
      <c r="F70" s="902"/>
      <c r="G70" s="903"/>
      <c r="H70" s="901" t="s">
        <v>1093</v>
      </c>
      <c r="I70" s="902"/>
      <c r="J70" s="902"/>
      <c r="K70" s="902"/>
      <c r="L70" s="903"/>
    </row>
    <row r="71" spans="2:12" x14ac:dyDescent="0.25">
      <c r="B71" s="886"/>
      <c r="C71" s="887"/>
      <c r="D71" s="887"/>
      <c r="E71" s="887"/>
      <c r="F71" s="887"/>
      <c r="G71" s="888"/>
      <c r="H71" s="886"/>
      <c r="I71" s="887"/>
      <c r="J71" s="887"/>
      <c r="K71" s="887"/>
      <c r="L71" s="888"/>
    </row>
    <row r="72" spans="2:12" x14ac:dyDescent="0.25">
      <c r="B72" s="886"/>
      <c r="C72" s="887"/>
      <c r="D72" s="887"/>
      <c r="E72" s="887"/>
      <c r="F72" s="887"/>
      <c r="G72" s="888"/>
      <c r="H72" s="886"/>
      <c r="I72" s="887"/>
      <c r="J72" s="887"/>
      <c r="K72" s="887"/>
      <c r="L72" s="888"/>
    </row>
    <row r="73" spans="2:12" x14ac:dyDescent="0.25">
      <c r="B73" s="886"/>
      <c r="C73" s="887"/>
      <c r="D73" s="887"/>
      <c r="E73" s="887"/>
      <c r="F73" s="887"/>
      <c r="G73" s="888"/>
      <c r="H73" s="886"/>
      <c r="I73" s="887"/>
      <c r="J73" s="887"/>
      <c r="K73" s="887"/>
      <c r="L73" s="888"/>
    </row>
    <row r="74" spans="2:12" x14ac:dyDescent="0.25">
      <c r="B74" s="886"/>
      <c r="C74" s="887"/>
      <c r="D74" s="887"/>
      <c r="E74" s="887"/>
      <c r="F74" s="887"/>
      <c r="G74" s="888"/>
      <c r="H74" s="886"/>
      <c r="I74" s="887"/>
      <c r="J74" s="887"/>
      <c r="K74" s="887"/>
      <c r="L74" s="888"/>
    </row>
    <row r="75" spans="2:12" x14ac:dyDescent="0.25">
      <c r="B75" s="886"/>
      <c r="C75" s="887"/>
      <c r="D75" s="887"/>
      <c r="E75" s="887"/>
      <c r="F75" s="887"/>
      <c r="G75" s="888"/>
      <c r="H75" s="886"/>
      <c r="I75" s="887"/>
      <c r="J75" s="887"/>
      <c r="K75" s="887"/>
      <c r="L75" s="888"/>
    </row>
    <row r="76" spans="2:12" x14ac:dyDescent="0.25">
      <c r="B76" s="886"/>
      <c r="C76" s="887"/>
      <c r="D76" s="887"/>
      <c r="E76" s="887"/>
      <c r="F76" s="887"/>
      <c r="G76" s="888"/>
      <c r="H76" s="886"/>
      <c r="I76" s="887"/>
      <c r="J76" s="887"/>
      <c r="K76" s="887"/>
      <c r="L76" s="888"/>
    </row>
    <row r="77" spans="2:12" x14ac:dyDescent="0.25">
      <c r="B77" s="886"/>
      <c r="C77" s="887"/>
      <c r="D77" s="887"/>
      <c r="E77" s="887"/>
      <c r="F77" s="887"/>
      <c r="G77" s="888"/>
      <c r="H77" s="886"/>
      <c r="I77" s="887"/>
      <c r="J77" s="887"/>
      <c r="K77" s="887"/>
      <c r="L77" s="888"/>
    </row>
    <row r="78" spans="2:12" x14ac:dyDescent="0.25">
      <c r="B78" s="886"/>
      <c r="C78" s="887"/>
      <c r="D78" s="887"/>
      <c r="E78" s="887"/>
      <c r="F78" s="887"/>
      <c r="G78" s="888"/>
      <c r="H78" s="886"/>
      <c r="I78" s="887"/>
      <c r="J78" s="887"/>
      <c r="K78" s="887"/>
      <c r="L78" s="888"/>
    </row>
    <row r="79" spans="2:12" x14ac:dyDescent="0.25">
      <c r="B79" s="886"/>
      <c r="C79" s="887"/>
      <c r="D79" s="887"/>
      <c r="E79" s="887"/>
      <c r="F79" s="887"/>
      <c r="G79" s="888"/>
      <c r="H79" s="886"/>
      <c r="I79" s="887"/>
      <c r="J79" s="887"/>
      <c r="K79" s="887"/>
      <c r="L79" s="888"/>
    </row>
    <row r="80" spans="2:12" x14ac:dyDescent="0.25">
      <c r="B80" s="886"/>
      <c r="C80" s="887"/>
      <c r="D80" s="887"/>
      <c r="E80" s="887"/>
      <c r="F80" s="887"/>
      <c r="G80" s="888"/>
      <c r="H80" s="886"/>
      <c r="I80" s="887"/>
      <c r="J80" s="887"/>
      <c r="K80" s="887"/>
      <c r="L80" s="888"/>
    </row>
    <row r="81" spans="2:12" x14ac:dyDescent="0.25">
      <c r="B81" s="886"/>
      <c r="C81" s="887"/>
      <c r="D81" s="887"/>
      <c r="E81" s="887"/>
      <c r="F81" s="887"/>
      <c r="G81" s="888"/>
      <c r="H81" s="886"/>
      <c r="I81" s="887"/>
      <c r="J81" s="887"/>
      <c r="K81" s="887"/>
      <c r="L81" s="888"/>
    </row>
    <row r="82" spans="2:12" x14ac:dyDescent="0.25">
      <c r="B82" s="886"/>
      <c r="C82" s="887"/>
      <c r="D82" s="887"/>
      <c r="E82" s="887"/>
      <c r="F82" s="887"/>
      <c r="G82" s="888"/>
      <c r="H82" s="886"/>
      <c r="I82" s="887"/>
      <c r="J82" s="887"/>
      <c r="K82" s="887"/>
      <c r="L82" s="888"/>
    </row>
    <row r="83" spans="2:12" ht="15.75" thickBot="1" x14ac:dyDescent="0.3">
      <c r="B83" s="886"/>
      <c r="C83" s="887"/>
      <c r="D83" s="887"/>
      <c r="E83" s="887"/>
      <c r="F83" s="887"/>
      <c r="G83" s="888"/>
      <c r="H83" s="886"/>
      <c r="I83" s="887"/>
      <c r="J83" s="887"/>
      <c r="K83" s="887"/>
      <c r="L83" s="888"/>
    </row>
    <row r="84" spans="2:12" ht="15" customHeight="1" x14ac:dyDescent="0.25">
      <c r="B84" s="1035" t="s">
        <v>1352</v>
      </c>
      <c r="C84" s="1036"/>
      <c r="D84" s="1036"/>
      <c r="E84" s="1036"/>
      <c r="F84" s="1036"/>
      <c r="G84" s="1037"/>
      <c r="H84" s="1041" t="s">
        <v>1353</v>
      </c>
      <c r="I84" s="1042"/>
      <c r="J84" s="1042"/>
      <c r="K84" s="1042"/>
      <c r="L84" s="1043"/>
    </row>
    <row r="85" spans="2:12" ht="15.75" thickBot="1" x14ac:dyDescent="0.3">
      <c r="B85" s="1038"/>
      <c r="C85" s="1039"/>
      <c r="D85" s="1039"/>
      <c r="E85" s="1039"/>
      <c r="F85" s="1039"/>
      <c r="G85" s="1040"/>
      <c r="H85" s="1044"/>
      <c r="I85" s="1045"/>
      <c r="J85" s="1045"/>
      <c r="K85" s="1045"/>
      <c r="L85" s="1046"/>
    </row>
    <row r="86" spans="2:12" x14ac:dyDescent="0.25">
      <c r="B86" s="901" t="s">
        <v>1094</v>
      </c>
      <c r="C86" s="902"/>
      <c r="D86" s="902"/>
      <c r="E86" s="902"/>
      <c r="F86" s="902"/>
      <c r="G86" s="903"/>
      <c r="H86" s="901" t="s">
        <v>1095</v>
      </c>
      <c r="I86" s="902"/>
      <c r="J86" s="902"/>
      <c r="K86" s="902"/>
      <c r="L86" s="903"/>
    </row>
    <row r="87" spans="2:12" x14ac:dyDescent="0.25">
      <c r="B87" s="886"/>
      <c r="C87" s="887"/>
      <c r="D87" s="887"/>
      <c r="E87" s="887"/>
      <c r="F87" s="887"/>
      <c r="G87" s="888"/>
      <c r="H87" s="886"/>
      <c r="I87" s="887"/>
      <c r="J87" s="887"/>
      <c r="K87" s="887"/>
      <c r="L87" s="888"/>
    </row>
    <row r="88" spans="2:12" x14ac:dyDescent="0.25">
      <c r="B88" s="886"/>
      <c r="C88" s="887"/>
      <c r="D88" s="887"/>
      <c r="E88" s="887"/>
      <c r="F88" s="887"/>
      <c r="G88" s="888"/>
      <c r="H88" s="886"/>
      <c r="I88" s="887"/>
      <c r="J88" s="887"/>
      <c r="K88" s="887"/>
      <c r="L88" s="888"/>
    </row>
    <row r="89" spans="2:12" x14ac:dyDescent="0.25">
      <c r="B89" s="886"/>
      <c r="C89" s="887"/>
      <c r="D89" s="887"/>
      <c r="E89" s="887"/>
      <c r="F89" s="887"/>
      <c r="G89" s="888"/>
      <c r="H89" s="886"/>
      <c r="I89" s="887"/>
      <c r="J89" s="887"/>
      <c r="K89" s="887"/>
      <c r="L89" s="888"/>
    </row>
    <row r="90" spans="2:12" x14ac:dyDescent="0.25">
      <c r="B90" s="886"/>
      <c r="C90" s="887"/>
      <c r="D90" s="887"/>
      <c r="E90" s="887"/>
      <c r="F90" s="887"/>
      <c r="G90" s="888"/>
      <c r="H90" s="886"/>
      <c r="I90" s="887"/>
      <c r="J90" s="887"/>
      <c r="K90" s="887"/>
      <c r="L90" s="888"/>
    </row>
    <row r="91" spans="2:12" x14ac:dyDescent="0.25">
      <c r="B91" s="886"/>
      <c r="C91" s="887"/>
      <c r="D91" s="887"/>
      <c r="E91" s="887"/>
      <c r="F91" s="887"/>
      <c r="G91" s="888"/>
      <c r="H91" s="886"/>
      <c r="I91" s="887"/>
      <c r="J91" s="887"/>
      <c r="K91" s="887"/>
      <c r="L91" s="888"/>
    </row>
    <row r="92" spans="2:12" x14ac:dyDescent="0.25">
      <c r="B92" s="886"/>
      <c r="C92" s="887"/>
      <c r="D92" s="887"/>
      <c r="E92" s="887"/>
      <c r="F92" s="887"/>
      <c r="G92" s="888"/>
      <c r="H92" s="886"/>
      <c r="I92" s="887"/>
      <c r="J92" s="887"/>
      <c r="K92" s="887"/>
      <c r="L92" s="888"/>
    </row>
    <row r="93" spans="2:12" x14ac:dyDescent="0.25">
      <c r="B93" s="886"/>
      <c r="C93" s="887"/>
      <c r="D93" s="887"/>
      <c r="E93" s="887"/>
      <c r="F93" s="887"/>
      <c r="G93" s="888"/>
      <c r="H93" s="886"/>
      <c r="I93" s="887"/>
      <c r="J93" s="887"/>
      <c r="K93" s="887"/>
      <c r="L93" s="888"/>
    </row>
    <row r="94" spans="2:12" x14ac:dyDescent="0.25">
      <c r="B94" s="886"/>
      <c r="C94" s="887"/>
      <c r="D94" s="887"/>
      <c r="E94" s="887"/>
      <c r="F94" s="887"/>
      <c r="G94" s="888"/>
      <c r="H94" s="886"/>
      <c r="I94" s="887"/>
      <c r="J94" s="887"/>
      <c r="K94" s="887"/>
      <c r="L94" s="888"/>
    </row>
    <row r="95" spans="2:12" x14ac:dyDescent="0.25">
      <c r="B95" s="886"/>
      <c r="C95" s="887"/>
      <c r="D95" s="887"/>
      <c r="E95" s="887"/>
      <c r="F95" s="887"/>
      <c r="G95" s="888"/>
      <c r="H95" s="886"/>
      <c r="I95" s="887"/>
      <c r="J95" s="887"/>
      <c r="K95" s="887"/>
      <c r="L95" s="888"/>
    </row>
    <row r="96" spans="2:12" x14ac:dyDescent="0.25">
      <c r="B96" s="886"/>
      <c r="C96" s="887"/>
      <c r="D96" s="887"/>
      <c r="E96" s="887"/>
      <c r="F96" s="887"/>
      <c r="G96" s="888"/>
      <c r="H96" s="886"/>
      <c r="I96" s="887"/>
      <c r="J96" s="887"/>
      <c r="K96" s="887"/>
      <c r="L96" s="888"/>
    </row>
    <row r="97" spans="2:12" x14ac:dyDescent="0.25">
      <c r="B97" s="886"/>
      <c r="C97" s="887"/>
      <c r="D97" s="887"/>
      <c r="E97" s="887"/>
      <c r="F97" s="887"/>
      <c r="G97" s="888"/>
      <c r="H97" s="886"/>
      <c r="I97" s="887"/>
      <c r="J97" s="887"/>
      <c r="K97" s="887"/>
      <c r="L97" s="888"/>
    </row>
    <row r="98" spans="2:12" x14ac:dyDescent="0.25">
      <c r="B98" s="886"/>
      <c r="C98" s="887"/>
      <c r="D98" s="887"/>
      <c r="E98" s="887"/>
      <c r="F98" s="887"/>
      <c r="G98" s="888"/>
      <c r="H98" s="886"/>
      <c r="I98" s="887"/>
      <c r="J98" s="887"/>
      <c r="K98" s="887"/>
      <c r="L98" s="888"/>
    </row>
    <row r="99" spans="2:12" ht="15.75" thickBot="1" x14ac:dyDescent="0.3">
      <c r="B99" s="886"/>
      <c r="C99" s="887"/>
      <c r="D99" s="887"/>
      <c r="E99" s="887"/>
      <c r="F99" s="887"/>
      <c r="G99" s="888"/>
      <c r="H99" s="886"/>
      <c r="I99" s="887"/>
      <c r="J99" s="887"/>
      <c r="K99" s="887"/>
      <c r="L99" s="888"/>
    </row>
    <row r="100" spans="2:12" ht="15" customHeight="1" x14ac:dyDescent="0.25">
      <c r="B100" s="1035" t="s">
        <v>1354</v>
      </c>
      <c r="C100" s="1036"/>
      <c r="D100" s="1036"/>
      <c r="E100" s="1036"/>
      <c r="F100" s="1036"/>
      <c r="G100" s="1037"/>
      <c r="H100" s="1041" t="s">
        <v>1355</v>
      </c>
      <c r="I100" s="1042"/>
      <c r="J100" s="1042"/>
      <c r="K100" s="1042"/>
      <c r="L100" s="1043"/>
    </row>
    <row r="101" spans="2:12" ht="15.75" thickBot="1" x14ac:dyDescent="0.3">
      <c r="B101" s="1038"/>
      <c r="C101" s="1039"/>
      <c r="D101" s="1039"/>
      <c r="E101" s="1039"/>
      <c r="F101" s="1039"/>
      <c r="G101" s="1040"/>
      <c r="H101" s="1044"/>
      <c r="I101" s="1045"/>
      <c r="J101" s="1045"/>
      <c r="K101" s="1045"/>
      <c r="L101" s="1046"/>
    </row>
  </sheetData>
  <mergeCells count="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M148"/>
  <sheetViews>
    <sheetView view="pageBreakPreview" zoomScale="70" zoomScaleNormal="100" zoomScaleSheetLayoutView="70" zoomScalePageLayoutView="110" workbookViewId="0">
      <selection activeCell="P13" sqref="P13"/>
    </sheetView>
  </sheetViews>
  <sheetFormatPr baseColWidth="10" defaultColWidth="11.42578125" defaultRowHeight="15" x14ac:dyDescent="0.25"/>
  <cols>
    <col min="1" max="1" width="3.7109375" style="131" customWidth="1"/>
    <col min="2" max="2" width="4.7109375" style="131" customWidth="1"/>
    <col min="3" max="3" width="8.28515625" style="131" customWidth="1"/>
    <col min="4" max="4" width="8" style="131" customWidth="1"/>
    <col min="5" max="5" width="11.42578125" style="131"/>
    <col min="6" max="6" width="11.85546875" style="131" customWidth="1"/>
    <col min="7" max="7" width="27.28515625" style="131" customWidth="1"/>
    <col min="8" max="8" width="8.5703125" style="131" customWidth="1"/>
    <col min="9" max="9" width="22.42578125" style="131" customWidth="1"/>
    <col min="10" max="10" width="13" style="131" customWidth="1"/>
    <col min="11" max="11" width="13.42578125" style="131" customWidth="1"/>
    <col min="12" max="12" width="20.85546875" style="131" customWidth="1"/>
    <col min="13" max="13" width="4.85546875" style="131" hidden="1" customWidth="1"/>
    <col min="14" max="16384" width="11.42578125" style="131"/>
  </cols>
  <sheetData>
    <row r="1" spans="2:12" ht="27.75" customHeight="1" x14ac:dyDescent="0.25">
      <c r="B1" s="939" t="s">
        <v>252</v>
      </c>
      <c r="C1" s="871"/>
      <c r="D1" s="871"/>
      <c r="E1" s="871"/>
      <c r="F1" s="871"/>
      <c r="G1" s="871"/>
      <c r="H1" s="871"/>
      <c r="I1" s="871"/>
      <c r="J1" s="871"/>
      <c r="K1" s="871"/>
      <c r="L1" s="921"/>
    </row>
    <row r="2" spans="2:12" ht="11.25" customHeight="1" x14ac:dyDescent="0.25">
      <c r="B2" s="940"/>
      <c r="C2" s="872"/>
      <c r="D2" s="872"/>
      <c r="E2" s="872"/>
      <c r="F2" s="872"/>
      <c r="G2" s="872"/>
      <c r="H2" s="872"/>
      <c r="I2" s="872"/>
      <c r="J2" s="872"/>
      <c r="K2" s="872"/>
      <c r="L2" s="923"/>
    </row>
    <row r="3" spans="2:12" ht="24.95" customHeight="1" x14ac:dyDescent="0.25">
      <c r="B3" s="926" t="s">
        <v>290</v>
      </c>
      <c r="C3" s="924"/>
      <c r="D3" s="924"/>
      <c r="E3" s="925"/>
      <c r="F3" s="316">
        <v>44188</v>
      </c>
      <c r="G3" s="926" t="s">
        <v>291</v>
      </c>
      <c r="H3" s="924"/>
      <c r="I3" s="925"/>
      <c r="J3" s="927">
        <v>44194</v>
      </c>
      <c r="K3" s="924"/>
      <c r="L3" s="925"/>
    </row>
    <row r="4" spans="2:12" ht="24.95" customHeight="1" x14ac:dyDescent="0.25">
      <c r="B4" s="1047" t="s">
        <v>251</v>
      </c>
      <c r="C4" s="1048"/>
      <c r="D4" s="1048"/>
      <c r="E4" s="1048"/>
      <c r="F4" s="1048"/>
      <c r="G4" s="1048"/>
      <c r="H4" s="1049"/>
      <c r="I4" s="317" t="s">
        <v>490</v>
      </c>
      <c r="J4" s="317" t="s">
        <v>2</v>
      </c>
      <c r="K4" s="1053" t="s">
        <v>0</v>
      </c>
      <c r="L4" s="1054"/>
    </row>
    <row r="5" spans="2:12" ht="24.95" customHeight="1" thickBot="1" x14ac:dyDescent="0.3">
      <c r="B5" s="1050"/>
      <c r="C5" s="1051"/>
      <c r="D5" s="1051"/>
      <c r="E5" s="1051"/>
      <c r="F5" s="1051"/>
      <c r="G5" s="1051"/>
      <c r="H5" s="1052"/>
      <c r="I5" s="318" t="s">
        <v>491</v>
      </c>
      <c r="J5" s="317">
        <v>2</v>
      </c>
      <c r="K5" s="1053" t="s">
        <v>292</v>
      </c>
      <c r="L5" s="1054"/>
    </row>
    <row r="6" spans="2:12" ht="15.75" customHeight="1" x14ac:dyDescent="0.25">
      <c r="B6" s="1055" t="s">
        <v>453</v>
      </c>
      <c r="C6" s="1056"/>
      <c r="D6" s="1056"/>
      <c r="E6" s="1056"/>
      <c r="F6" s="1056"/>
      <c r="G6" s="1057"/>
      <c r="H6" s="1061" t="s">
        <v>454</v>
      </c>
      <c r="I6" s="1062"/>
      <c r="J6" s="1062"/>
      <c r="K6" s="1062"/>
      <c r="L6" s="1063"/>
    </row>
    <row r="7" spans="2:12" ht="15" customHeight="1" x14ac:dyDescent="0.25">
      <c r="B7" s="1058"/>
      <c r="C7" s="1059"/>
      <c r="D7" s="1059"/>
      <c r="E7" s="1059"/>
      <c r="F7" s="1059"/>
      <c r="G7" s="1060"/>
      <c r="H7" s="1064"/>
      <c r="I7" s="1065"/>
      <c r="J7" s="1065"/>
      <c r="K7" s="1065"/>
      <c r="L7" s="1066"/>
    </row>
    <row r="8" spans="2:12" ht="15" customHeight="1" x14ac:dyDescent="0.25">
      <c r="B8" s="1058"/>
      <c r="C8" s="1059"/>
      <c r="D8" s="1059"/>
      <c r="E8" s="1059"/>
      <c r="F8" s="1059"/>
      <c r="G8" s="1060"/>
      <c r="H8" s="1064"/>
      <c r="I8" s="1065"/>
      <c r="J8" s="1065"/>
      <c r="K8" s="1065"/>
      <c r="L8" s="1066"/>
    </row>
    <row r="9" spans="2:12" ht="85.5" customHeight="1" x14ac:dyDescent="0.25">
      <c r="B9" s="1058"/>
      <c r="C9" s="1059"/>
      <c r="D9" s="1059"/>
      <c r="E9" s="1059"/>
      <c r="F9" s="1059"/>
      <c r="G9" s="1060"/>
      <c r="H9" s="1064"/>
      <c r="I9" s="1065"/>
      <c r="J9" s="1065"/>
      <c r="K9" s="1065"/>
      <c r="L9" s="1066"/>
    </row>
    <row r="10" spans="2:12" ht="63.75" customHeight="1" x14ac:dyDescent="0.25">
      <c r="B10" s="1058"/>
      <c r="C10" s="1059"/>
      <c r="D10" s="1059"/>
      <c r="E10" s="1059"/>
      <c r="F10" s="1059"/>
      <c r="G10" s="1060"/>
      <c r="H10" s="1064"/>
      <c r="I10" s="1065"/>
      <c r="J10" s="1065"/>
      <c r="K10" s="1065"/>
      <c r="L10" s="1066"/>
    </row>
    <row r="11" spans="2:12" ht="15" customHeight="1" x14ac:dyDescent="0.25">
      <c r="B11" s="1058"/>
      <c r="C11" s="1059"/>
      <c r="D11" s="1059"/>
      <c r="E11" s="1059"/>
      <c r="F11" s="1059"/>
      <c r="G11" s="1060"/>
      <c r="H11" s="1064"/>
      <c r="I11" s="1065"/>
      <c r="J11" s="1065"/>
      <c r="K11" s="1065"/>
      <c r="L11" s="1066"/>
    </row>
    <row r="12" spans="2:12" ht="34.5" customHeight="1" x14ac:dyDescent="0.25">
      <c r="B12" s="1058"/>
      <c r="C12" s="1059"/>
      <c r="D12" s="1059"/>
      <c r="E12" s="1059"/>
      <c r="F12" s="1059"/>
      <c r="G12" s="1060"/>
      <c r="H12" s="1064"/>
      <c r="I12" s="1065"/>
      <c r="J12" s="1065"/>
      <c r="K12" s="1065"/>
      <c r="L12" s="1066"/>
    </row>
    <row r="13" spans="2:12" ht="92.25" customHeight="1" x14ac:dyDescent="0.25">
      <c r="B13" s="1058"/>
      <c r="C13" s="1059"/>
      <c r="D13" s="1059"/>
      <c r="E13" s="1059"/>
      <c r="F13" s="1059"/>
      <c r="G13" s="1060"/>
      <c r="H13" s="1064"/>
      <c r="I13" s="1065"/>
      <c r="J13" s="1065"/>
      <c r="K13" s="1065"/>
      <c r="L13" s="1066"/>
    </row>
    <row r="14" spans="2:12" ht="15" hidden="1" customHeight="1" x14ac:dyDescent="0.25">
      <c r="B14" s="1058"/>
      <c r="C14" s="1059"/>
      <c r="D14" s="1059"/>
      <c r="E14" s="1059"/>
      <c r="F14" s="1059"/>
      <c r="G14" s="1060"/>
      <c r="H14" s="1064"/>
      <c r="I14" s="1065"/>
      <c r="J14" s="1065"/>
      <c r="K14" s="1065"/>
      <c r="L14" s="1066"/>
    </row>
    <row r="15" spans="2:12" ht="15" hidden="1" customHeight="1" x14ac:dyDescent="0.25">
      <c r="B15" s="1058"/>
      <c r="C15" s="1059"/>
      <c r="D15" s="1059"/>
      <c r="E15" s="1059"/>
      <c r="F15" s="1059"/>
      <c r="G15" s="1060"/>
      <c r="H15" s="1064"/>
      <c r="I15" s="1065"/>
      <c r="J15" s="1065"/>
      <c r="K15" s="1065"/>
      <c r="L15" s="1066"/>
    </row>
    <row r="16" spans="2:12" ht="15" hidden="1" customHeight="1" x14ac:dyDescent="0.25">
      <c r="B16" s="1058"/>
      <c r="C16" s="1059"/>
      <c r="D16" s="1059"/>
      <c r="E16" s="1059"/>
      <c r="F16" s="1059"/>
      <c r="G16" s="1060"/>
      <c r="H16" s="1064"/>
      <c r="I16" s="1065"/>
      <c r="J16" s="1065"/>
      <c r="K16" s="1065"/>
      <c r="L16" s="1066"/>
    </row>
    <row r="17" spans="2:12" ht="15" hidden="1" customHeight="1" x14ac:dyDescent="0.25">
      <c r="B17" s="1058"/>
      <c r="C17" s="1059"/>
      <c r="D17" s="1059"/>
      <c r="E17" s="1059"/>
      <c r="F17" s="1059"/>
      <c r="G17" s="1060"/>
      <c r="H17" s="1064"/>
      <c r="I17" s="1065"/>
      <c r="J17" s="1065"/>
      <c r="K17" s="1065"/>
      <c r="L17" s="1066"/>
    </row>
    <row r="18" spans="2:12" ht="15" hidden="1" customHeight="1" x14ac:dyDescent="0.25">
      <c r="B18" s="1058"/>
      <c r="C18" s="1059"/>
      <c r="D18" s="1059"/>
      <c r="E18" s="1059"/>
      <c r="F18" s="1059"/>
      <c r="G18" s="1060"/>
      <c r="H18" s="1064"/>
      <c r="I18" s="1065"/>
      <c r="J18" s="1065"/>
      <c r="K18" s="1065"/>
      <c r="L18" s="1066"/>
    </row>
    <row r="19" spans="2:12" ht="15.75" customHeight="1" x14ac:dyDescent="0.25">
      <c r="B19" s="1058"/>
      <c r="C19" s="1059"/>
      <c r="D19" s="1059"/>
      <c r="E19" s="1059"/>
      <c r="F19" s="1059"/>
      <c r="G19" s="1060"/>
      <c r="H19" s="1064"/>
      <c r="I19" s="1065"/>
      <c r="J19" s="1065"/>
      <c r="K19" s="1065"/>
      <c r="L19" s="1066"/>
    </row>
    <row r="20" spans="2:12" ht="47.25" customHeight="1" x14ac:dyDescent="0.25">
      <c r="B20" s="895" t="s">
        <v>1311</v>
      </c>
      <c r="C20" s="896"/>
      <c r="D20" s="896"/>
      <c r="E20" s="896"/>
      <c r="F20" s="896"/>
      <c r="G20" s="897"/>
      <c r="H20" s="895" t="s">
        <v>1312</v>
      </c>
      <c r="I20" s="896"/>
      <c r="J20" s="896"/>
      <c r="K20" s="896"/>
      <c r="L20" s="897"/>
    </row>
    <row r="21" spans="2:12" ht="50.25" customHeight="1" thickBot="1" x14ac:dyDescent="0.3">
      <c r="B21" s="898"/>
      <c r="C21" s="899"/>
      <c r="D21" s="899"/>
      <c r="E21" s="899"/>
      <c r="F21" s="899"/>
      <c r="G21" s="900"/>
      <c r="H21" s="898"/>
      <c r="I21" s="899"/>
      <c r="J21" s="899"/>
      <c r="K21" s="899"/>
      <c r="L21" s="900"/>
    </row>
    <row r="22" spans="2:12" ht="15.75" customHeight="1" x14ac:dyDescent="0.25">
      <c r="B22" s="1055" t="s">
        <v>453</v>
      </c>
      <c r="C22" s="1056"/>
      <c r="D22" s="1056"/>
      <c r="E22" s="1056"/>
      <c r="F22" s="1056"/>
      <c r="G22" s="1057"/>
      <c r="H22" s="1055" t="s">
        <v>454</v>
      </c>
      <c r="I22" s="1056"/>
      <c r="J22" s="1056"/>
      <c r="K22" s="1056"/>
      <c r="L22" s="1057"/>
    </row>
    <row r="23" spans="2:12" ht="15" customHeight="1" x14ac:dyDescent="0.25">
      <c r="B23" s="1058"/>
      <c r="C23" s="1059"/>
      <c r="D23" s="1059"/>
      <c r="E23" s="1059"/>
      <c r="F23" s="1059"/>
      <c r="G23" s="1060"/>
      <c r="H23" s="1058"/>
      <c r="I23" s="1059"/>
      <c r="J23" s="1059"/>
      <c r="K23" s="1059"/>
      <c r="L23" s="1060"/>
    </row>
    <row r="24" spans="2:12" ht="15" customHeight="1" x14ac:dyDescent="0.25">
      <c r="B24" s="1058"/>
      <c r="C24" s="1059"/>
      <c r="D24" s="1059"/>
      <c r="E24" s="1059"/>
      <c r="F24" s="1059"/>
      <c r="G24" s="1060"/>
      <c r="H24" s="1058"/>
      <c r="I24" s="1059"/>
      <c r="J24" s="1059"/>
      <c r="K24" s="1059"/>
      <c r="L24" s="1060"/>
    </row>
    <row r="25" spans="2:12" ht="15" customHeight="1" x14ac:dyDescent="0.25">
      <c r="B25" s="1058"/>
      <c r="C25" s="1059"/>
      <c r="D25" s="1059"/>
      <c r="E25" s="1059"/>
      <c r="F25" s="1059"/>
      <c r="G25" s="1060"/>
      <c r="H25" s="1058"/>
      <c r="I25" s="1059"/>
      <c r="J25" s="1059"/>
      <c r="K25" s="1059"/>
      <c r="L25" s="1060"/>
    </row>
    <row r="26" spans="2:12" ht="15" customHeight="1" x14ac:dyDescent="0.25">
      <c r="B26" s="1058"/>
      <c r="C26" s="1059"/>
      <c r="D26" s="1059"/>
      <c r="E26" s="1059"/>
      <c r="F26" s="1059"/>
      <c r="G26" s="1060"/>
      <c r="H26" s="1058"/>
      <c r="I26" s="1059"/>
      <c r="J26" s="1059"/>
      <c r="K26" s="1059"/>
      <c r="L26" s="1060"/>
    </row>
    <row r="27" spans="2:12" ht="15" customHeight="1" x14ac:dyDescent="0.25">
      <c r="B27" s="1058"/>
      <c r="C27" s="1059"/>
      <c r="D27" s="1059"/>
      <c r="E27" s="1059"/>
      <c r="F27" s="1059"/>
      <c r="G27" s="1060"/>
      <c r="H27" s="1058"/>
      <c r="I27" s="1059"/>
      <c r="J27" s="1059"/>
      <c r="K27" s="1059"/>
      <c r="L27" s="1060"/>
    </row>
    <row r="28" spans="2:12" ht="121.5" customHeight="1" x14ac:dyDescent="0.25">
      <c r="B28" s="1058"/>
      <c r="C28" s="1059"/>
      <c r="D28" s="1059"/>
      <c r="E28" s="1059"/>
      <c r="F28" s="1059"/>
      <c r="G28" s="1060"/>
      <c r="H28" s="1058"/>
      <c r="I28" s="1059"/>
      <c r="J28" s="1059"/>
      <c r="K28" s="1059"/>
      <c r="L28" s="1060"/>
    </row>
    <row r="29" spans="2:12" ht="109.5" customHeight="1" x14ac:dyDescent="0.25">
      <c r="B29" s="1058"/>
      <c r="C29" s="1059"/>
      <c r="D29" s="1059"/>
      <c r="E29" s="1059"/>
      <c r="F29" s="1059"/>
      <c r="G29" s="1060"/>
      <c r="H29" s="1058"/>
      <c r="I29" s="1059"/>
      <c r="J29" s="1059"/>
      <c r="K29" s="1059"/>
      <c r="L29" s="1060"/>
    </row>
    <row r="30" spans="2:12" ht="15" customHeight="1" x14ac:dyDescent="0.25">
      <c r="B30" s="1058"/>
      <c r="C30" s="1059"/>
      <c r="D30" s="1059"/>
      <c r="E30" s="1059"/>
      <c r="F30" s="1059"/>
      <c r="G30" s="1060"/>
      <c r="H30" s="1058"/>
      <c r="I30" s="1059"/>
      <c r="J30" s="1059"/>
      <c r="K30" s="1059"/>
      <c r="L30" s="1060"/>
    </row>
    <row r="31" spans="2:12" ht="14.25" customHeight="1" x14ac:dyDescent="0.25">
      <c r="B31" s="1058"/>
      <c r="C31" s="1059"/>
      <c r="D31" s="1059"/>
      <c r="E31" s="1059"/>
      <c r="F31" s="1059"/>
      <c r="G31" s="1060"/>
      <c r="H31" s="1058"/>
      <c r="I31" s="1059"/>
      <c r="J31" s="1059"/>
      <c r="K31" s="1059"/>
      <c r="L31" s="1060"/>
    </row>
    <row r="32" spans="2:12" ht="15" hidden="1" customHeight="1" x14ac:dyDescent="0.25">
      <c r="B32" s="1058"/>
      <c r="C32" s="1059"/>
      <c r="D32" s="1059"/>
      <c r="E32" s="1059"/>
      <c r="F32" s="1059"/>
      <c r="G32" s="1060"/>
      <c r="H32" s="1058"/>
      <c r="I32" s="1059"/>
      <c r="J32" s="1059"/>
      <c r="K32" s="1059"/>
      <c r="L32" s="1060"/>
    </row>
    <row r="33" spans="2:12" ht="15" hidden="1" customHeight="1" x14ac:dyDescent="0.25">
      <c r="B33" s="1058"/>
      <c r="C33" s="1059"/>
      <c r="D33" s="1059"/>
      <c r="E33" s="1059"/>
      <c r="F33" s="1059"/>
      <c r="G33" s="1060"/>
      <c r="H33" s="1058"/>
      <c r="I33" s="1059"/>
      <c r="J33" s="1059"/>
      <c r="K33" s="1059"/>
      <c r="L33" s="1060"/>
    </row>
    <row r="34" spans="2:12" ht="15" hidden="1" customHeight="1" x14ac:dyDescent="0.25">
      <c r="B34" s="1058"/>
      <c r="C34" s="1059"/>
      <c r="D34" s="1059"/>
      <c r="E34" s="1059"/>
      <c r="F34" s="1059"/>
      <c r="G34" s="1060"/>
      <c r="H34" s="1058"/>
      <c r="I34" s="1059"/>
      <c r="J34" s="1059"/>
      <c r="K34" s="1059"/>
      <c r="L34" s="1060"/>
    </row>
    <row r="35" spans="2:12" ht="15" hidden="1" customHeight="1" x14ac:dyDescent="0.25">
      <c r="B35" s="1058"/>
      <c r="C35" s="1059"/>
      <c r="D35" s="1059"/>
      <c r="E35" s="1059"/>
      <c r="F35" s="1059"/>
      <c r="G35" s="1060"/>
      <c r="H35" s="1058"/>
      <c r="I35" s="1059"/>
      <c r="J35" s="1059"/>
      <c r="K35" s="1059"/>
      <c r="L35" s="1060"/>
    </row>
    <row r="36" spans="2:12" ht="47.25" customHeight="1" x14ac:dyDescent="0.25">
      <c r="B36" s="895" t="s">
        <v>1313</v>
      </c>
      <c r="C36" s="896"/>
      <c r="D36" s="896"/>
      <c r="E36" s="896"/>
      <c r="F36" s="896"/>
      <c r="G36" s="897"/>
      <c r="H36" s="895" t="s">
        <v>1314</v>
      </c>
      <c r="I36" s="896"/>
      <c r="J36" s="896"/>
      <c r="K36" s="896"/>
      <c r="L36" s="897"/>
    </row>
    <row r="37" spans="2:12" ht="12" customHeight="1" thickBot="1" x14ac:dyDescent="0.3">
      <c r="B37" s="898"/>
      <c r="C37" s="899"/>
      <c r="D37" s="899"/>
      <c r="E37" s="899"/>
      <c r="F37" s="899"/>
      <c r="G37" s="900"/>
      <c r="H37" s="898"/>
      <c r="I37" s="899"/>
      <c r="J37" s="899"/>
      <c r="K37" s="899"/>
      <c r="L37" s="900"/>
    </row>
    <row r="38" spans="2:12" ht="15.75" customHeight="1" x14ac:dyDescent="0.25">
      <c r="B38" s="1058" t="s">
        <v>453</v>
      </c>
      <c r="C38" s="1059"/>
      <c r="D38" s="1059"/>
      <c r="E38" s="1059"/>
      <c r="F38" s="1059"/>
      <c r="G38" s="1060"/>
      <c r="H38" s="1055" t="s">
        <v>454</v>
      </c>
      <c r="I38" s="1056"/>
      <c r="J38" s="1056"/>
      <c r="K38" s="1056"/>
      <c r="L38" s="1057"/>
    </row>
    <row r="39" spans="2:12" ht="15" customHeight="1" x14ac:dyDescent="0.25">
      <c r="B39" s="1058"/>
      <c r="C39" s="1059"/>
      <c r="D39" s="1059"/>
      <c r="E39" s="1059"/>
      <c r="F39" s="1059"/>
      <c r="G39" s="1060"/>
      <c r="H39" s="1058"/>
      <c r="I39" s="1059"/>
      <c r="J39" s="1059"/>
      <c r="K39" s="1059"/>
      <c r="L39" s="1060"/>
    </row>
    <row r="40" spans="2:12" ht="15" customHeight="1" x14ac:dyDescent="0.25">
      <c r="B40" s="1058"/>
      <c r="C40" s="1059"/>
      <c r="D40" s="1059"/>
      <c r="E40" s="1059"/>
      <c r="F40" s="1059"/>
      <c r="G40" s="1060"/>
      <c r="H40" s="1058"/>
      <c r="I40" s="1059"/>
      <c r="J40" s="1059"/>
      <c r="K40" s="1059"/>
      <c r="L40" s="1060"/>
    </row>
    <row r="41" spans="2:12" ht="15" customHeight="1" x14ac:dyDescent="0.25">
      <c r="B41" s="1058"/>
      <c r="C41" s="1059"/>
      <c r="D41" s="1059"/>
      <c r="E41" s="1059"/>
      <c r="F41" s="1059"/>
      <c r="G41" s="1060"/>
      <c r="H41" s="1058"/>
      <c r="I41" s="1059"/>
      <c r="J41" s="1059"/>
      <c r="K41" s="1059"/>
      <c r="L41" s="1060"/>
    </row>
    <row r="42" spans="2:12" ht="15" customHeight="1" x14ac:dyDescent="0.25">
      <c r="B42" s="1058"/>
      <c r="C42" s="1059"/>
      <c r="D42" s="1059"/>
      <c r="E42" s="1059"/>
      <c r="F42" s="1059"/>
      <c r="G42" s="1060"/>
      <c r="H42" s="1058"/>
      <c r="I42" s="1059"/>
      <c r="J42" s="1059"/>
      <c r="K42" s="1059"/>
      <c r="L42" s="1060"/>
    </row>
    <row r="43" spans="2:12" ht="15" customHeight="1" x14ac:dyDescent="0.25">
      <c r="B43" s="1058"/>
      <c r="C43" s="1059"/>
      <c r="D43" s="1059"/>
      <c r="E43" s="1059"/>
      <c r="F43" s="1059"/>
      <c r="G43" s="1060"/>
      <c r="H43" s="1058"/>
      <c r="I43" s="1059"/>
      <c r="J43" s="1059"/>
      <c r="K43" s="1059"/>
      <c r="L43" s="1060"/>
    </row>
    <row r="44" spans="2:12" ht="130.5" customHeight="1" x14ac:dyDescent="0.25">
      <c r="B44" s="1058"/>
      <c r="C44" s="1059"/>
      <c r="D44" s="1059"/>
      <c r="E44" s="1059"/>
      <c r="F44" s="1059"/>
      <c r="G44" s="1060"/>
      <c r="H44" s="1058"/>
      <c r="I44" s="1059"/>
      <c r="J44" s="1059"/>
      <c r="K44" s="1059"/>
      <c r="L44" s="1060"/>
    </row>
    <row r="45" spans="2:12" ht="15" customHeight="1" x14ac:dyDescent="0.25">
      <c r="B45" s="1058"/>
      <c r="C45" s="1059"/>
      <c r="D45" s="1059"/>
      <c r="E45" s="1059"/>
      <c r="F45" s="1059"/>
      <c r="G45" s="1060"/>
      <c r="H45" s="1058"/>
      <c r="I45" s="1059"/>
      <c r="J45" s="1059"/>
      <c r="K45" s="1059"/>
      <c r="L45" s="1060"/>
    </row>
    <row r="46" spans="2:12" ht="15" customHeight="1" x14ac:dyDescent="0.25">
      <c r="B46" s="1058"/>
      <c r="C46" s="1059"/>
      <c r="D46" s="1059"/>
      <c r="E46" s="1059"/>
      <c r="F46" s="1059"/>
      <c r="G46" s="1060"/>
      <c r="H46" s="1058"/>
      <c r="I46" s="1059"/>
      <c r="J46" s="1059"/>
      <c r="K46" s="1059"/>
      <c r="L46" s="1060"/>
    </row>
    <row r="47" spans="2:12" ht="15" customHeight="1" x14ac:dyDescent="0.25">
      <c r="B47" s="1058"/>
      <c r="C47" s="1059"/>
      <c r="D47" s="1059"/>
      <c r="E47" s="1059"/>
      <c r="F47" s="1059"/>
      <c r="G47" s="1060"/>
      <c r="H47" s="1058"/>
      <c r="I47" s="1059"/>
      <c r="J47" s="1059"/>
      <c r="K47" s="1059"/>
      <c r="L47" s="1060"/>
    </row>
    <row r="48" spans="2:12" ht="94.5" customHeight="1" x14ac:dyDescent="0.25">
      <c r="B48" s="1058"/>
      <c r="C48" s="1059"/>
      <c r="D48" s="1059"/>
      <c r="E48" s="1059"/>
      <c r="F48" s="1059"/>
      <c r="G48" s="1060"/>
      <c r="H48" s="1058"/>
      <c r="I48" s="1059"/>
      <c r="J48" s="1059"/>
      <c r="K48" s="1059"/>
      <c r="L48" s="1060"/>
    </row>
    <row r="49" spans="2:12" ht="15" hidden="1" customHeight="1" x14ac:dyDescent="0.25">
      <c r="B49" s="1058"/>
      <c r="C49" s="1059"/>
      <c r="D49" s="1059"/>
      <c r="E49" s="1059"/>
      <c r="F49" s="1059"/>
      <c r="G49" s="1060"/>
      <c r="H49" s="1058"/>
      <c r="I49" s="1059"/>
      <c r="J49" s="1059"/>
      <c r="K49" s="1059"/>
      <c r="L49" s="1060"/>
    </row>
    <row r="50" spans="2:12" ht="15" hidden="1" customHeight="1" x14ac:dyDescent="0.25">
      <c r="B50" s="1058"/>
      <c r="C50" s="1059"/>
      <c r="D50" s="1059"/>
      <c r="E50" s="1059"/>
      <c r="F50" s="1059"/>
      <c r="G50" s="1060"/>
      <c r="H50" s="1058"/>
      <c r="I50" s="1059"/>
      <c r="J50" s="1059"/>
      <c r="K50" s="1059"/>
      <c r="L50" s="1060"/>
    </row>
    <row r="51" spans="2:12" ht="2.25" customHeight="1" x14ac:dyDescent="0.25">
      <c r="B51" s="1058"/>
      <c r="C51" s="1059"/>
      <c r="D51" s="1059"/>
      <c r="E51" s="1059"/>
      <c r="F51" s="1059"/>
      <c r="G51" s="1060"/>
      <c r="H51" s="1058"/>
      <c r="I51" s="1059"/>
      <c r="J51" s="1059"/>
      <c r="K51" s="1059"/>
      <c r="L51" s="1060"/>
    </row>
    <row r="52" spans="2:12" ht="61.5" customHeight="1" x14ac:dyDescent="0.25">
      <c r="B52" s="895" t="s">
        <v>1315</v>
      </c>
      <c r="C52" s="896"/>
      <c r="D52" s="896"/>
      <c r="E52" s="896"/>
      <c r="F52" s="896"/>
      <c r="G52" s="897"/>
      <c r="H52" s="895" t="s">
        <v>1316</v>
      </c>
      <c r="I52" s="896"/>
      <c r="J52" s="896"/>
      <c r="K52" s="896"/>
      <c r="L52" s="897"/>
    </row>
    <row r="53" spans="2:12" ht="8.25" customHeight="1" thickBot="1" x14ac:dyDescent="0.3">
      <c r="B53" s="898"/>
      <c r="C53" s="899"/>
      <c r="D53" s="899"/>
      <c r="E53" s="899"/>
      <c r="F53" s="899"/>
      <c r="G53" s="900"/>
      <c r="H53" s="898"/>
      <c r="I53" s="899"/>
      <c r="J53" s="899"/>
      <c r="K53" s="899"/>
      <c r="L53" s="900"/>
    </row>
    <row r="54" spans="2:12" ht="15.75" customHeight="1" x14ac:dyDescent="0.25">
      <c r="B54" s="1058" t="s">
        <v>453</v>
      </c>
      <c r="C54" s="1059"/>
      <c r="D54" s="1059"/>
      <c r="E54" s="1059"/>
      <c r="F54" s="1059"/>
      <c r="G54" s="1060"/>
      <c r="H54" s="1055" t="s">
        <v>454</v>
      </c>
      <c r="I54" s="1056"/>
      <c r="J54" s="1056"/>
      <c r="K54" s="1056"/>
      <c r="L54" s="1057"/>
    </row>
    <row r="55" spans="2:12" ht="15" customHeight="1" x14ac:dyDescent="0.25">
      <c r="B55" s="1058"/>
      <c r="C55" s="1059"/>
      <c r="D55" s="1059"/>
      <c r="E55" s="1059"/>
      <c r="F55" s="1059"/>
      <c r="G55" s="1060"/>
      <c r="H55" s="1058"/>
      <c r="I55" s="1059"/>
      <c r="J55" s="1059"/>
      <c r="K55" s="1059"/>
      <c r="L55" s="1060"/>
    </row>
    <row r="56" spans="2:12" ht="15" customHeight="1" x14ac:dyDescent="0.25">
      <c r="B56" s="1058"/>
      <c r="C56" s="1059"/>
      <c r="D56" s="1059"/>
      <c r="E56" s="1059"/>
      <c r="F56" s="1059"/>
      <c r="G56" s="1060"/>
      <c r="H56" s="1058"/>
      <c r="I56" s="1059"/>
      <c r="J56" s="1059"/>
      <c r="K56" s="1059"/>
      <c r="L56" s="1060"/>
    </row>
    <row r="57" spans="2:12" ht="15" customHeight="1" x14ac:dyDescent="0.25">
      <c r="B57" s="1058"/>
      <c r="C57" s="1059"/>
      <c r="D57" s="1059"/>
      <c r="E57" s="1059"/>
      <c r="F57" s="1059"/>
      <c r="G57" s="1060"/>
      <c r="H57" s="1058"/>
      <c r="I57" s="1059"/>
      <c r="J57" s="1059"/>
      <c r="K57" s="1059"/>
      <c r="L57" s="1060"/>
    </row>
    <row r="58" spans="2:12" ht="15" customHeight="1" x14ac:dyDescent="0.25">
      <c r="B58" s="1058"/>
      <c r="C58" s="1059"/>
      <c r="D58" s="1059"/>
      <c r="E58" s="1059"/>
      <c r="F58" s="1059"/>
      <c r="G58" s="1060"/>
      <c r="H58" s="1058"/>
      <c r="I58" s="1059"/>
      <c r="J58" s="1059"/>
      <c r="K58" s="1059"/>
      <c r="L58" s="1060"/>
    </row>
    <row r="59" spans="2:12" ht="15" customHeight="1" x14ac:dyDescent="0.25">
      <c r="B59" s="1058"/>
      <c r="C59" s="1059"/>
      <c r="D59" s="1059"/>
      <c r="E59" s="1059"/>
      <c r="F59" s="1059"/>
      <c r="G59" s="1060"/>
      <c r="H59" s="1058"/>
      <c r="I59" s="1059"/>
      <c r="J59" s="1059"/>
      <c r="K59" s="1059"/>
      <c r="L59" s="1060"/>
    </row>
    <row r="60" spans="2:12" ht="15" customHeight="1" x14ac:dyDescent="0.25">
      <c r="B60" s="1058"/>
      <c r="C60" s="1059"/>
      <c r="D60" s="1059"/>
      <c r="E60" s="1059"/>
      <c r="F60" s="1059"/>
      <c r="G60" s="1060"/>
      <c r="H60" s="1058"/>
      <c r="I60" s="1059"/>
      <c r="J60" s="1059"/>
      <c r="K60" s="1059"/>
      <c r="L60" s="1060"/>
    </row>
    <row r="61" spans="2:12" ht="21.75" customHeight="1" x14ac:dyDescent="0.25">
      <c r="B61" s="1058"/>
      <c r="C61" s="1059"/>
      <c r="D61" s="1059"/>
      <c r="E61" s="1059"/>
      <c r="F61" s="1059"/>
      <c r="G61" s="1060"/>
      <c r="H61" s="1058"/>
      <c r="I61" s="1059"/>
      <c r="J61" s="1059"/>
      <c r="K61" s="1059"/>
      <c r="L61" s="1060"/>
    </row>
    <row r="62" spans="2:12" ht="78.75" customHeight="1" x14ac:dyDescent="0.25">
      <c r="B62" s="1058"/>
      <c r="C62" s="1059"/>
      <c r="D62" s="1059"/>
      <c r="E62" s="1059"/>
      <c r="F62" s="1059"/>
      <c r="G62" s="1060"/>
      <c r="H62" s="1058"/>
      <c r="I62" s="1059"/>
      <c r="J62" s="1059"/>
      <c r="K62" s="1059"/>
      <c r="L62" s="1060"/>
    </row>
    <row r="63" spans="2:12" ht="15" customHeight="1" x14ac:dyDescent="0.25">
      <c r="B63" s="1058"/>
      <c r="C63" s="1059"/>
      <c r="D63" s="1059"/>
      <c r="E63" s="1059"/>
      <c r="F63" s="1059"/>
      <c r="G63" s="1060"/>
      <c r="H63" s="1058"/>
      <c r="I63" s="1059"/>
      <c r="J63" s="1059"/>
      <c r="K63" s="1059"/>
      <c r="L63" s="1060"/>
    </row>
    <row r="64" spans="2:12" ht="102.75" customHeight="1" x14ac:dyDescent="0.25">
      <c r="B64" s="1058"/>
      <c r="C64" s="1059"/>
      <c r="D64" s="1059"/>
      <c r="E64" s="1059"/>
      <c r="F64" s="1059"/>
      <c r="G64" s="1060"/>
      <c r="H64" s="1058"/>
      <c r="I64" s="1059"/>
      <c r="J64" s="1059"/>
      <c r="K64" s="1059"/>
      <c r="L64" s="1060"/>
    </row>
    <row r="65" spans="2:12" ht="15" hidden="1" customHeight="1" x14ac:dyDescent="0.25">
      <c r="B65" s="1058"/>
      <c r="C65" s="1059"/>
      <c r="D65" s="1059"/>
      <c r="E65" s="1059"/>
      <c r="F65" s="1059"/>
      <c r="G65" s="1060"/>
      <c r="H65" s="1058"/>
      <c r="I65" s="1059"/>
      <c r="J65" s="1059"/>
      <c r="K65" s="1059"/>
      <c r="L65" s="1060"/>
    </row>
    <row r="66" spans="2:12" ht="15" hidden="1" customHeight="1" x14ac:dyDescent="0.25">
      <c r="B66" s="1058"/>
      <c r="C66" s="1059"/>
      <c r="D66" s="1059"/>
      <c r="E66" s="1059"/>
      <c r="F66" s="1059"/>
      <c r="G66" s="1060"/>
      <c r="H66" s="1058"/>
      <c r="I66" s="1059"/>
      <c r="J66" s="1059"/>
      <c r="K66" s="1059"/>
      <c r="L66" s="1060"/>
    </row>
    <row r="67" spans="2:12" ht="15" hidden="1" customHeight="1" x14ac:dyDescent="0.25">
      <c r="B67" s="1058"/>
      <c r="C67" s="1059"/>
      <c r="D67" s="1059"/>
      <c r="E67" s="1059"/>
      <c r="F67" s="1059"/>
      <c r="G67" s="1060"/>
      <c r="H67" s="1058"/>
      <c r="I67" s="1059"/>
      <c r="J67" s="1059"/>
      <c r="K67" s="1059"/>
      <c r="L67" s="1060"/>
    </row>
    <row r="68" spans="2:12" ht="58.5" customHeight="1" x14ac:dyDescent="0.25">
      <c r="B68" s="895" t="s">
        <v>1317</v>
      </c>
      <c r="C68" s="896"/>
      <c r="D68" s="896"/>
      <c r="E68" s="896"/>
      <c r="F68" s="896"/>
      <c r="G68" s="897"/>
      <c r="H68" s="895" t="s">
        <v>1318</v>
      </c>
      <c r="I68" s="896"/>
      <c r="J68" s="896"/>
      <c r="K68" s="896"/>
      <c r="L68" s="897"/>
    </row>
    <row r="69" spans="2:12" ht="33" customHeight="1" thickBot="1" x14ac:dyDescent="0.3">
      <c r="B69" s="898"/>
      <c r="C69" s="899"/>
      <c r="D69" s="899"/>
      <c r="E69" s="899"/>
      <c r="F69" s="899"/>
      <c r="G69" s="900"/>
      <c r="H69" s="898"/>
      <c r="I69" s="899"/>
      <c r="J69" s="899"/>
      <c r="K69" s="899"/>
      <c r="L69" s="900"/>
    </row>
    <row r="70" spans="2:12" ht="15.75" customHeight="1" x14ac:dyDescent="0.25">
      <c r="B70" s="1055" t="s">
        <v>453</v>
      </c>
      <c r="C70" s="1056"/>
      <c r="D70" s="1056"/>
      <c r="E70" s="1056"/>
      <c r="F70" s="1056"/>
      <c r="G70" s="1057"/>
      <c r="H70" s="1055" t="s">
        <v>454</v>
      </c>
      <c r="I70" s="1056"/>
      <c r="J70" s="1056"/>
      <c r="K70" s="1056"/>
      <c r="L70" s="1057"/>
    </row>
    <row r="71" spans="2:12" x14ac:dyDescent="0.25">
      <c r="B71" s="1058"/>
      <c r="C71" s="1059"/>
      <c r="D71" s="1059"/>
      <c r="E71" s="1059"/>
      <c r="F71" s="1059"/>
      <c r="G71" s="1060"/>
      <c r="H71" s="1058"/>
      <c r="I71" s="1059"/>
      <c r="J71" s="1059"/>
      <c r="K71" s="1059"/>
      <c r="L71" s="1060"/>
    </row>
    <row r="72" spans="2:12" x14ac:dyDescent="0.25">
      <c r="B72" s="1058"/>
      <c r="C72" s="1059"/>
      <c r="D72" s="1059"/>
      <c r="E72" s="1059"/>
      <c r="F72" s="1059"/>
      <c r="G72" s="1060"/>
      <c r="H72" s="1058"/>
      <c r="I72" s="1059"/>
      <c r="J72" s="1059"/>
      <c r="K72" s="1059"/>
      <c r="L72" s="1060"/>
    </row>
    <row r="73" spans="2:12" x14ac:dyDescent="0.25">
      <c r="B73" s="1058"/>
      <c r="C73" s="1059"/>
      <c r="D73" s="1059"/>
      <c r="E73" s="1059"/>
      <c r="F73" s="1059"/>
      <c r="G73" s="1060"/>
      <c r="H73" s="1058"/>
      <c r="I73" s="1059"/>
      <c r="J73" s="1059"/>
      <c r="K73" s="1059"/>
      <c r="L73" s="1060"/>
    </row>
    <row r="74" spans="2:12" x14ac:dyDescent="0.25">
      <c r="B74" s="1058"/>
      <c r="C74" s="1059"/>
      <c r="D74" s="1059"/>
      <c r="E74" s="1059"/>
      <c r="F74" s="1059"/>
      <c r="G74" s="1060"/>
      <c r="H74" s="1058"/>
      <c r="I74" s="1059"/>
      <c r="J74" s="1059"/>
      <c r="K74" s="1059"/>
      <c r="L74" s="1060"/>
    </row>
    <row r="75" spans="2:12" ht="58.5" customHeight="1" x14ac:dyDescent="0.25">
      <c r="B75" s="1058"/>
      <c r="C75" s="1059"/>
      <c r="D75" s="1059"/>
      <c r="E75" s="1059"/>
      <c r="F75" s="1059"/>
      <c r="G75" s="1060"/>
      <c r="H75" s="1058"/>
      <c r="I75" s="1059"/>
      <c r="J75" s="1059"/>
      <c r="K75" s="1059"/>
      <c r="L75" s="1060"/>
    </row>
    <row r="76" spans="2:12" ht="99" customHeight="1" x14ac:dyDescent="0.25">
      <c r="B76" s="1058"/>
      <c r="C76" s="1059"/>
      <c r="D76" s="1059"/>
      <c r="E76" s="1059"/>
      <c r="F76" s="1059"/>
      <c r="G76" s="1060"/>
      <c r="H76" s="1058"/>
      <c r="I76" s="1059"/>
      <c r="J76" s="1059"/>
      <c r="K76" s="1059"/>
      <c r="L76" s="1060"/>
    </row>
    <row r="77" spans="2:12" x14ac:dyDescent="0.25">
      <c r="B77" s="1058"/>
      <c r="C77" s="1059"/>
      <c r="D77" s="1059"/>
      <c r="E77" s="1059"/>
      <c r="F77" s="1059"/>
      <c r="G77" s="1060"/>
      <c r="H77" s="1058"/>
      <c r="I77" s="1059"/>
      <c r="J77" s="1059"/>
      <c r="K77" s="1059"/>
      <c r="L77" s="1060"/>
    </row>
    <row r="78" spans="2:12" x14ac:dyDescent="0.25">
      <c r="B78" s="1058"/>
      <c r="C78" s="1059"/>
      <c r="D78" s="1059"/>
      <c r="E78" s="1059"/>
      <c r="F78" s="1059"/>
      <c r="G78" s="1060"/>
      <c r="H78" s="1058"/>
      <c r="I78" s="1059"/>
      <c r="J78" s="1059"/>
      <c r="K78" s="1059"/>
      <c r="L78" s="1060"/>
    </row>
    <row r="79" spans="2:12" x14ac:dyDescent="0.25">
      <c r="B79" s="1058"/>
      <c r="C79" s="1059"/>
      <c r="D79" s="1059"/>
      <c r="E79" s="1059"/>
      <c r="F79" s="1059"/>
      <c r="G79" s="1060"/>
      <c r="H79" s="1058"/>
      <c r="I79" s="1059"/>
      <c r="J79" s="1059"/>
      <c r="K79" s="1059"/>
      <c r="L79" s="1060"/>
    </row>
    <row r="80" spans="2:12" x14ac:dyDescent="0.25">
      <c r="B80" s="1058"/>
      <c r="C80" s="1059"/>
      <c r="D80" s="1059"/>
      <c r="E80" s="1059"/>
      <c r="F80" s="1059"/>
      <c r="G80" s="1060"/>
      <c r="H80" s="1058"/>
      <c r="I80" s="1059"/>
      <c r="J80" s="1059"/>
      <c r="K80" s="1059"/>
      <c r="L80" s="1060"/>
    </row>
    <row r="81" spans="2:12" x14ac:dyDescent="0.25">
      <c r="B81" s="1058"/>
      <c r="C81" s="1059"/>
      <c r="D81" s="1059"/>
      <c r="E81" s="1059"/>
      <c r="F81" s="1059"/>
      <c r="G81" s="1060"/>
      <c r="H81" s="1058"/>
      <c r="I81" s="1059"/>
      <c r="J81" s="1059"/>
      <c r="K81" s="1059"/>
      <c r="L81" s="1060"/>
    </row>
    <row r="82" spans="2:12" x14ac:dyDescent="0.25">
      <c r="B82" s="1058"/>
      <c r="C82" s="1059"/>
      <c r="D82" s="1059"/>
      <c r="E82" s="1059"/>
      <c r="F82" s="1059"/>
      <c r="G82" s="1060"/>
      <c r="H82" s="1058"/>
      <c r="I82" s="1059"/>
      <c r="J82" s="1059"/>
      <c r="K82" s="1059"/>
      <c r="L82" s="1060"/>
    </row>
    <row r="83" spans="2:12" x14ac:dyDescent="0.25">
      <c r="B83" s="1058"/>
      <c r="C83" s="1059"/>
      <c r="D83" s="1059"/>
      <c r="E83" s="1059"/>
      <c r="F83" s="1059"/>
      <c r="G83" s="1060"/>
      <c r="H83" s="1058"/>
      <c r="I83" s="1059"/>
      <c r="J83" s="1059"/>
      <c r="K83" s="1059"/>
      <c r="L83" s="1060"/>
    </row>
    <row r="84" spans="2:12" ht="87" customHeight="1" thickBot="1" x14ac:dyDescent="0.3">
      <c r="B84" s="1067" t="s">
        <v>1319</v>
      </c>
      <c r="C84" s="1067"/>
      <c r="D84" s="1067"/>
      <c r="E84" s="1067"/>
      <c r="F84" s="1067"/>
      <c r="G84" s="1067"/>
      <c r="H84" s="896" t="s">
        <v>1320</v>
      </c>
      <c r="I84" s="896"/>
      <c r="J84" s="896"/>
      <c r="K84" s="896"/>
      <c r="L84" s="897"/>
    </row>
    <row r="85" spans="2:12" ht="15.75" customHeight="1" x14ac:dyDescent="0.25">
      <c r="B85" s="1058" t="s">
        <v>453</v>
      </c>
      <c r="C85" s="1059"/>
      <c r="D85" s="1059"/>
      <c r="E85" s="1059"/>
      <c r="F85" s="1059"/>
      <c r="G85" s="1060"/>
      <c r="H85" s="1055" t="s">
        <v>454</v>
      </c>
      <c r="I85" s="1056"/>
      <c r="J85" s="1056"/>
      <c r="K85" s="1056"/>
      <c r="L85" s="1057"/>
    </row>
    <row r="86" spans="2:12" ht="42.75" customHeight="1" x14ac:dyDescent="0.25">
      <c r="B86" s="1058"/>
      <c r="C86" s="1059"/>
      <c r="D86" s="1059"/>
      <c r="E86" s="1059"/>
      <c r="F86" s="1059"/>
      <c r="G86" s="1060"/>
      <c r="H86" s="1058"/>
      <c r="I86" s="1059"/>
      <c r="J86" s="1059"/>
      <c r="K86" s="1059"/>
      <c r="L86" s="1060"/>
    </row>
    <row r="87" spans="2:12" ht="15" customHeight="1" x14ac:dyDescent="0.25">
      <c r="B87" s="1058"/>
      <c r="C87" s="1059"/>
      <c r="D87" s="1059"/>
      <c r="E87" s="1059"/>
      <c r="F87" s="1059"/>
      <c r="G87" s="1060"/>
      <c r="H87" s="1058"/>
      <c r="I87" s="1059"/>
      <c r="J87" s="1059"/>
      <c r="K87" s="1059"/>
      <c r="L87" s="1060"/>
    </row>
    <row r="88" spans="2:12" ht="116.25" customHeight="1" x14ac:dyDescent="0.25">
      <c r="B88" s="1058"/>
      <c r="C88" s="1059"/>
      <c r="D88" s="1059"/>
      <c r="E88" s="1059"/>
      <c r="F88" s="1059"/>
      <c r="G88" s="1060"/>
      <c r="H88" s="1058"/>
      <c r="I88" s="1059"/>
      <c r="J88" s="1059"/>
      <c r="K88" s="1059"/>
      <c r="L88" s="1060"/>
    </row>
    <row r="89" spans="2:12" ht="15" customHeight="1" x14ac:dyDescent="0.25">
      <c r="B89" s="1058"/>
      <c r="C89" s="1059"/>
      <c r="D89" s="1059"/>
      <c r="E89" s="1059"/>
      <c r="F89" s="1059"/>
      <c r="G89" s="1060"/>
      <c r="H89" s="1058"/>
      <c r="I89" s="1059"/>
      <c r="J89" s="1059"/>
      <c r="K89" s="1059"/>
      <c r="L89" s="1060"/>
    </row>
    <row r="90" spans="2:12" ht="15" customHeight="1" x14ac:dyDescent="0.25">
      <c r="B90" s="1058"/>
      <c r="C90" s="1059"/>
      <c r="D90" s="1059"/>
      <c r="E90" s="1059"/>
      <c r="F90" s="1059"/>
      <c r="G90" s="1060"/>
      <c r="H90" s="1058"/>
      <c r="I90" s="1059"/>
      <c r="J90" s="1059"/>
      <c r="K90" s="1059"/>
      <c r="L90" s="1060"/>
    </row>
    <row r="91" spans="2:12" ht="15" customHeight="1" x14ac:dyDescent="0.25">
      <c r="B91" s="1058"/>
      <c r="C91" s="1059"/>
      <c r="D91" s="1059"/>
      <c r="E91" s="1059"/>
      <c r="F91" s="1059"/>
      <c r="G91" s="1060"/>
      <c r="H91" s="1058"/>
      <c r="I91" s="1059"/>
      <c r="J91" s="1059"/>
      <c r="K91" s="1059"/>
      <c r="L91" s="1060"/>
    </row>
    <row r="92" spans="2:12" ht="15" customHeight="1" x14ac:dyDescent="0.25">
      <c r="B92" s="1058"/>
      <c r="C92" s="1059"/>
      <c r="D92" s="1059"/>
      <c r="E92" s="1059"/>
      <c r="F92" s="1059"/>
      <c r="G92" s="1060"/>
      <c r="H92" s="1058"/>
      <c r="I92" s="1059"/>
      <c r="J92" s="1059"/>
      <c r="K92" s="1059"/>
      <c r="L92" s="1060"/>
    </row>
    <row r="93" spans="2:12" ht="15" customHeight="1" x14ac:dyDescent="0.25">
      <c r="B93" s="1058"/>
      <c r="C93" s="1059"/>
      <c r="D93" s="1059"/>
      <c r="E93" s="1059"/>
      <c r="F93" s="1059"/>
      <c r="G93" s="1060"/>
      <c r="H93" s="1058"/>
      <c r="I93" s="1059"/>
      <c r="J93" s="1059"/>
      <c r="K93" s="1059"/>
      <c r="L93" s="1060"/>
    </row>
    <row r="94" spans="2:12" ht="15" customHeight="1" x14ac:dyDescent="0.25">
      <c r="B94" s="1058"/>
      <c r="C94" s="1059"/>
      <c r="D94" s="1059"/>
      <c r="E94" s="1059"/>
      <c r="F94" s="1059"/>
      <c r="G94" s="1060"/>
      <c r="H94" s="1058"/>
      <c r="I94" s="1059"/>
      <c r="J94" s="1059"/>
      <c r="K94" s="1059"/>
      <c r="L94" s="1060"/>
    </row>
    <row r="95" spans="2:12" ht="41.25" customHeight="1" x14ac:dyDescent="0.25">
      <c r="B95" s="1058"/>
      <c r="C95" s="1059"/>
      <c r="D95" s="1059"/>
      <c r="E95" s="1059"/>
      <c r="F95" s="1059"/>
      <c r="G95" s="1060"/>
      <c r="H95" s="1058"/>
      <c r="I95" s="1059"/>
      <c r="J95" s="1059"/>
      <c r="K95" s="1059"/>
      <c r="L95" s="1060"/>
    </row>
    <row r="96" spans="2:12" ht="15" customHeight="1" x14ac:dyDescent="0.25">
      <c r="B96" s="1058"/>
      <c r="C96" s="1059"/>
      <c r="D96" s="1059"/>
      <c r="E96" s="1059"/>
      <c r="F96" s="1059"/>
      <c r="G96" s="1060"/>
      <c r="H96" s="1058"/>
      <c r="I96" s="1059"/>
      <c r="J96" s="1059"/>
      <c r="K96" s="1059"/>
      <c r="L96" s="1060"/>
    </row>
    <row r="97" spans="2:12" ht="4.5" customHeight="1" x14ac:dyDescent="0.25">
      <c r="B97" s="1058"/>
      <c r="C97" s="1059"/>
      <c r="D97" s="1059"/>
      <c r="E97" s="1059"/>
      <c r="F97" s="1059"/>
      <c r="G97" s="1060"/>
      <c r="H97" s="1058"/>
      <c r="I97" s="1059"/>
      <c r="J97" s="1059"/>
      <c r="K97" s="1059"/>
      <c r="L97" s="1060"/>
    </row>
    <row r="98" spans="2:12" ht="15" hidden="1" customHeight="1" x14ac:dyDescent="0.25">
      <c r="B98" s="1058"/>
      <c r="C98" s="1059"/>
      <c r="D98" s="1059"/>
      <c r="E98" s="1059"/>
      <c r="F98" s="1059"/>
      <c r="G98" s="1060"/>
      <c r="H98" s="1058"/>
      <c r="I98" s="1059"/>
      <c r="J98" s="1059"/>
      <c r="K98" s="1059"/>
      <c r="L98" s="1060"/>
    </row>
    <row r="99" spans="2:12" ht="15" customHeight="1" x14ac:dyDescent="0.25">
      <c r="B99" s="895" t="s">
        <v>1321</v>
      </c>
      <c r="C99" s="896"/>
      <c r="D99" s="896"/>
      <c r="E99" s="896"/>
      <c r="F99" s="896"/>
      <c r="G99" s="897"/>
      <c r="H99" s="895" t="s">
        <v>1322</v>
      </c>
      <c r="I99" s="896"/>
      <c r="J99" s="896"/>
      <c r="K99" s="896"/>
      <c r="L99" s="897"/>
    </row>
    <row r="100" spans="2:12" ht="107.25" customHeight="1" thickBot="1" x14ac:dyDescent="0.3">
      <c r="B100" s="898"/>
      <c r="C100" s="899"/>
      <c r="D100" s="899"/>
      <c r="E100" s="899"/>
      <c r="F100" s="899"/>
      <c r="G100" s="900"/>
      <c r="H100" s="898"/>
      <c r="I100" s="899"/>
      <c r="J100" s="899"/>
      <c r="K100" s="899"/>
      <c r="L100" s="900"/>
    </row>
    <row r="101" spans="2:12" ht="15.75" customHeight="1" x14ac:dyDescent="0.25">
      <c r="B101" s="1058" t="s">
        <v>453</v>
      </c>
      <c r="C101" s="1059"/>
      <c r="D101" s="1059"/>
      <c r="E101" s="1059"/>
      <c r="F101" s="1059"/>
      <c r="G101" s="1060"/>
      <c r="H101" s="1058" t="s">
        <v>454</v>
      </c>
      <c r="I101" s="1059"/>
      <c r="J101" s="1059"/>
      <c r="K101" s="1059"/>
      <c r="L101" s="1060"/>
    </row>
    <row r="102" spans="2:12" x14ac:dyDescent="0.25">
      <c r="B102" s="1058"/>
      <c r="C102" s="1059"/>
      <c r="D102" s="1059"/>
      <c r="E102" s="1059"/>
      <c r="F102" s="1059"/>
      <c r="G102" s="1060"/>
      <c r="H102" s="1058"/>
      <c r="I102" s="1059"/>
      <c r="J102" s="1059"/>
      <c r="K102" s="1059"/>
      <c r="L102" s="1060"/>
    </row>
    <row r="103" spans="2:12" x14ac:dyDescent="0.25">
      <c r="B103" s="1058"/>
      <c r="C103" s="1059"/>
      <c r="D103" s="1059"/>
      <c r="E103" s="1059"/>
      <c r="F103" s="1059"/>
      <c r="G103" s="1060"/>
      <c r="H103" s="1058"/>
      <c r="I103" s="1059"/>
      <c r="J103" s="1059"/>
      <c r="K103" s="1059"/>
      <c r="L103" s="1060"/>
    </row>
    <row r="104" spans="2:12" x14ac:dyDescent="0.25">
      <c r="B104" s="1058"/>
      <c r="C104" s="1059"/>
      <c r="D104" s="1059"/>
      <c r="E104" s="1059"/>
      <c r="F104" s="1059"/>
      <c r="G104" s="1060"/>
      <c r="H104" s="1058"/>
      <c r="I104" s="1059"/>
      <c r="J104" s="1059"/>
      <c r="K104" s="1059"/>
      <c r="L104" s="1060"/>
    </row>
    <row r="105" spans="2:12" x14ac:dyDescent="0.25">
      <c r="B105" s="1058"/>
      <c r="C105" s="1059"/>
      <c r="D105" s="1059"/>
      <c r="E105" s="1059"/>
      <c r="F105" s="1059"/>
      <c r="G105" s="1060"/>
      <c r="H105" s="1058"/>
      <c r="I105" s="1059"/>
      <c r="J105" s="1059"/>
      <c r="K105" s="1059"/>
      <c r="L105" s="1060"/>
    </row>
    <row r="106" spans="2:12" x14ac:dyDescent="0.25">
      <c r="B106" s="1058"/>
      <c r="C106" s="1059"/>
      <c r="D106" s="1059"/>
      <c r="E106" s="1059"/>
      <c r="F106" s="1059"/>
      <c r="G106" s="1060"/>
      <c r="H106" s="1058"/>
      <c r="I106" s="1059"/>
      <c r="J106" s="1059"/>
      <c r="K106" s="1059"/>
      <c r="L106" s="1060"/>
    </row>
    <row r="107" spans="2:12" x14ac:dyDescent="0.25">
      <c r="B107" s="1058"/>
      <c r="C107" s="1059"/>
      <c r="D107" s="1059"/>
      <c r="E107" s="1059"/>
      <c r="F107" s="1059"/>
      <c r="G107" s="1060"/>
      <c r="H107" s="1058"/>
      <c r="I107" s="1059"/>
      <c r="J107" s="1059"/>
      <c r="K107" s="1059"/>
      <c r="L107" s="1060"/>
    </row>
    <row r="108" spans="2:12" x14ac:dyDescent="0.25">
      <c r="B108" s="1058"/>
      <c r="C108" s="1059"/>
      <c r="D108" s="1059"/>
      <c r="E108" s="1059"/>
      <c r="F108" s="1059"/>
      <c r="G108" s="1060"/>
      <c r="H108" s="1058"/>
      <c r="I108" s="1059"/>
      <c r="J108" s="1059"/>
      <c r="K108" s="1059"/>
      <c r="L108" s="1060"/>
    </row>
    <row r="109" spans="2:12" x14ac:dyDescent="0.25">
      <c r="B109" s="1058"/>
      <c r="C109" s="1059"/>
      <c r="D109" s="1059"/>
      <c r="E109" s="1059"/>
      <c r="F109" s="1059"/>
      <c r="G109" s="1060"/>
      <c r="H109" s="1058"/>
      <c r="I109" s="1059"/>
      <c r="J109" s="1059"/>
      <c r="K109" s="1059"/>
      <c r="L109" s="1060"/>
    </row>
    <row r="110" spans="2:12" ht="21.75" customHeight="1" x14ac:dyDescent="0.25">
      <c r="B110" s="1058"/>
      <c r="C110" s="1059"/>
      <c r="D110" s="1059"/>
      <c r="E110" s="1059"/>
      <c r="F110" s="1059"/>
      <c r="G110" s="1060"/>
      <c r="H110" s="1058"/>
      <c r="I110" s="1059"/>
      <c r="J110" s="1059"/>
      <c r="K110" s="1059"/>
      <c r="L110" s="1060"/>
    </row>
    <row r="111" spans="2:12" ht="43.5" customHeight="1" x14ac:dyDescent="0.25">
      <c r="B111" s="1058"/>
      <c r="C111" s="1059"/>
      <c r="D111" s="1059"/>
      <c r="E111" s="1059"/>
      <c r="F111" s="1059"/>
      <c r="G111" s="1060"/>
      <c r="H111" s="1058"/>
      <c r="I111" s="1059"/>
      <c r="J111" s="1059"/>
      <c r="K111" s="1059"/>
      <c r="L111" s="1060"/>
    </row>
    <row r="112" spans="2:12" hidden="1" x14ac:dyDescent="0.25">
      <c r="B112" s="1058"/>
      <c r="C112" s="1059"/>
      <c r="D112" s="1059"/>
      <c r="E112" s="1059"/>
      <c r="F112" s="1059"/>
      <c r="G112" s="1060"/>
      <c r="H112" s="1058"/>
      <c r="I112" s="1059"/>
      <c r="J112" s="1059"/>
      <c r="K112" s="1059"/>
      <c r="L112" s="1060"/>
    </row>
    <row r="113" spans="2:12" ht="105" customHeight="1" x14ac:dyDescent="0.25">
      <c r="B113" s="1058"/>
      <c r="C113" s="1059"/>
      <c r="D113" s="1059"/>
      <c r="E113" s="1059"/>
      <c r="F113" s="1059"/>
      <c r="G113" s="1060"/>
      <c r="H113" s="1058"/>
      <c r="I113" s="1059"/>
      <c r="J113" s="1059"/>
      <c r="K113" s="1059"/>
      <c r="L113" s="1060"/>
    </row>
    <row r="114" spans="2:12" ht="36.75" customHeight="1" x14ac:dyDescent="0.25">
      <c r="B114" s="1058"/>
      <c r="C114" s="1059"/>
      <c r="D114" s="1059"/>
      <c r="E114" s="1059"/>
      <c r="F114" s="1059"/>
      <c r="G114" s="1060"/>
      <c r="H114" s="1058"/>
      <c r="I114" s="1059"/>
      <c r="J114" s="1059"/>
      <c r="K114" s="1059"/>
      <c r="L114" s="1060"/>
    </row>
    <row r="115" spans="2:12" ht="39" customHeight="1" x14ac:dyDescent="0.25">
      <c r="B115" s="1068" t="s">
        <v>1323</v>
      </c>
      <c r="C115" s="1069"/>
      <c r="D115" s="1069"/>
      <c r="E115" s="1069"/>
      <c r="F115" s="1069"/>
      <c r="G115" s="1070"/>
      <c r="H115" s="895" t="s">
        <v>1324</v>
      </c>
      <c r="I115" s="896"/>
      <c r="J115" s="896"/>
      <c r="K115" s="896"/>
      <c r="L115" s="897"/>
    </row>
    <row r="116" spans="2:12" ht="57.75" customHeight="1" thickBot="1" x14ac:dyDescent="0.3">
      <c r="B116" s="1071"/>
      <c r="C116" s="1072"/>
      <c r="D116" s="1072"/>
      <c r="E116" s="1072"/>
      <c r="F116" s="1072"/>
      <c r="G116" s="1073"/>
      <c r="H116" s="898"/>
      <c r="I116" s="899"/>
      <c r="J116" s="899"/>
      <c r="K116" s="899"/>
      <c r="L116" s="900"/>
    </row>
    <row r="117" spans="2:12" ht="15.75" customHeight="1" x14ac:dyDescent="0.25">
      <c r="B117" s="1058" t="s">
        <v>453</v>
      </c>
      <c r="C117" s="1059"/>
      <c r="D117" s="1059"/>
      <c r="E117" s="1059"/>
      <c r="F117" s="1059"/>
      <c r="G117" s="1060"/>
      <c r="H117" s="1058" t="s">
        <v>454</v>
      </c>
      <c r="I117" s="1059"/>
      <c r="J117" s="1059"/>
      <c r="K117" s="1059"/>
      <c r="L117" s="1060"/>
    </row>
    <row r="118" spans="2:12" x14ac:dyDescent="0.25">
      <c r="B118" s="1058"/>
      <c r="C118" s="1059"/>
      <c r="D118" s="1059"/>
      <c r="E118" s="1059"/>
      <c r="F118" s="1059"/>
      <c r="G118" s="1060"/>
      <c r="H118" s="1058"/>
      <c r="I118" s="1059"/>
      <c r="J118" s="1059"/>
      <c r="K118" s="1059"/>
      <c r="L118" s="1060"/>
    </row>
    <row r="119" spans="2:12" x14ac:dyDescent="0.25">
      <c r="B119" s="1058"/>
      <c r="C119" s="1059"/>
      <c r="D119" s="1059"/>
      <c r="E119" s="1059"/>
      <c r="F119" s="1059"/>
      <c r="G119" s="1060"/>
      <c r="H119" s="1058"/>
      <c r="I119" s="1059"/>
      <c r="J119" s="1059"/>
      <c r="K119" s="1059"/>
      <c r="L119" s="1060"/>
    </row>
    <row r="120" spans="2:12" x14ac:dyDescent="0.25">
      <c r="B120" s="1058"/>
      <c r="C120" s="1059"/>
      <c r="D120" s="1059"/>
      <c r="E120" s="1059"/>
      <c r="F120" s="1059"/>
      <c r="G120" s="1060"/>
      <c r="H120" s="1058"/>
      <c r="I120" s="1059"/>
      <c r="J120" s="1059"/>
      <c r="K120" s="1059"/>
      <c r="L120" s="1060"/>
    </row>
    <row r="121" spans="2:12" x14ac:dyDescent="0.25">
      <c r="B121" s="1058"/>
      <c r="C121" s="1059"/>
      <c r="D121" s="1059"/>
      <c r="E121" s="1059"/>
      <c r="F121" s="1059"/>
      <c r="G121" s="1060"/>
      <c r="H121" s="1058"/>
      <c r="I121" s="1059"/>
      <c r="J121" s="1059"/>
      <c r="K121" s="1059"/>
      <c r="L121" s="1060"/>
    </row>
    <row r="122" spans="2:12" ht="109.5" customHeight="1" x14ac:dyDescent="0.25">
      <c r="B122" s="1058"/>
      <c r="C122" s="1059"/>
      <c r="D122" s="1059"/>
      <c r="E122" s="1059"/>
      <c r="F122" s="1059"/>
      <c r="G122" s="1060"/>
      <c r="H122" s="1058"/>
      <c r="I122" s="1059"/>
      <c r="J122" s="1059"/>
      <c r="K122" s="1059"/>
      <c r="L122" s="1060"/>
    </row>
    <row r="123" spans="2:12" x14ac:dyDescent="0.25">
      <c r="B123" s="1058"/>
      <c r="C123" s="1059"/>
      <c r="D123" s="1059"/>
      <c r="E123" s="1059"/>
      <c r="F123" s="1059"/>
      <c r="G123" s="1060"/>
      <c r="H123" s="1058"/>
      <c r="I123" s="1059"/>
      <c r="J123" s="1059"/>
      <c r="K123" s="1059"/>
      <c r="L123" s="1060"/>
    </row>
    <row r="124" spans="2:12" x14ac:dyDescent="0.25">
      <c r="B124" s="1058"/>
      <c r="C124" s="1059"/>
      <c r="D124" s="1059"/>
      <c r="E124" s="1059"/>
      <c r="F124" s="1059"/>
      <c r="G124" s="1060"/>
      <c r="H124" s="1058"/>
      <c r="I124" s="1059"/>
      <c r="J124" s="1059"/>
      <c r="K124" s="1059"/>
      <c r="L124" s="1060"/>
    </row>
    <row r="125" spans="2:12" x14ac:dyDescent="0.25">
      <c r="B125" s="1058"/>
      <c r="C125" s="1059"/>
      <c r="D125" s="1059"/>
      <c r="E125" s="1059"/>
      <c r="F125" s="1059"/>
      <c r="G125" s="1060"/>
      <c r="H125" s="1058"/>
      <c r="I125" s="1059"/>
      <c r="J125" s="1059"/>
      <c r="K125" s="1059"/>
      <c r="L125" s="1060"/>
    </row>
    <row r="126" spans="2:12" x14ac:dyDescent="0.25">
      <c r="B126" s="1058"/>
      <c r="C126" s="1059"/>
      <c r="D126" s="1059"/>
      <c r="E126" s="1059"/>
      <c r="F126" s="1059"/>
      <c r="G126" s="1060"/>
      <c r="H126" s="1058"/>
      <c r="I126" s="1059"/>
      <c r="J126" s="1059"/>
      <c r="K126" s="1059"/>
      <c r="L126" s="1060"/>
    </row>
    <row r="127" spans="2:12" ht="80.25" customHeight="1" x14ac:dyDescent="0.25">
      <c r="B127" s="1058"/>
      <c r="C127" s="1059"/>
      <c r="D127" s="1059"/>
      <c r="E127" s="1059"/>
      <c r="F127" s="1059"/>
      <c r="G127" s="1060"/>
      <c r="H127" s="1058"/>
      <c r="I127" s="1059"/>
      <c r="J127" s="1059"/>
      <c r="K127" s="1059"/>
      <c r="L127" s="1060"/>
    </row>
    <row r="128" spans="2:12" hidden="1" x14ac:dyDescent="0.25">
      <c r="B128" s="1058"/>
      <c r="C128" s="1059"/>
      <c r="D128" s="1059"/>
      <c r="E128" s="1059"/>
      <c r="F128" s="1059"/>
      <c r="G128" s="1060"/>
      <c r="H128" s="1058"/>
      <c r="I128" s="1059"/>
      <c r="J128" s="1059"/>
      <c r="K128" s="1059"/>
      <c r="L128" s="1060"/>
    </row>
    <row r="129" spans="2:12" hidden="1" x14ac:dyDescent="0.25">
      <c r="B129" s="1058"/>
      <c r="C129" s="1059"/>
      <c r="D129" s="1059"/>
      <c r="E129" s="1059"/>
      <c r="F129" s="1059"/>
      <c r="G129" s="1060"/>
      <c r="H129" s="1058"/>
      <c r="I129" s="1059"/>
      <c r="J129" s="1059"/>
      <c r="K129" s="1059"/>
      <c r="L129" s="1060"/>
    </row>
    <row r="130" spans="2:12" hidden="1" x14ac:dyDescent="0.25">
      <c r="B130" s="1058"/>
      <c r="C130" s="1059"/>
      <c r="D130" s="1059"/>
      <c r="E130" s="1059"/>
      <c r="F130" s="1059"/>
      <c r="G130" s="1060"/>
      <c r="H130" s="1058"/>
      <c r="I130" s="1059"/>
      <c r="J130" s="1059"/>
      <c r="K130" s="1059"/>
      <c r="L130" s="1060"/>
    </row>
    <row r="131" spans="2:12" ht="39" customHeight="1" x14ac:dyDescent="0.25">
      <c r="B131" s="1068" t="s">
        <v>1325</v>
      </c>
      <c r="C131" s="1069"/>
      <c r="D131" s="1069"/>
      <c r="E131" s="1069"/>
      <c r="F131" s="1069"/>
      <c r="G131" s="1070"/>
      <c r="H131" s="1068" t="s">
        <v>1326</v>
      </c>
      <c r="I131" s="1069"/>
      <c r="J131" s="1069"/>
      <c r="K131" s="1069"/>
      <c r="L131" s="1070"/>
    </row>
    <row r="132" spans="2:12" ht="57" customHeight="1" thickBot="1" x14ac:dyDescent="0.3">
      <c r="B132" s="1071"/>
      <c r="C132" s="1072"/>
      <c r="D132" s="1072"/>
      <c r="E132" s="1072"/>
      <c r="F132" s="1072"/>
      <c r="G132" s="1073"/>
      <c r="H132" s="1071"/>
      <c r="I132" s="1072"/>
      <c r="J132" s="1072"/>
      <c r="K132" s="1072"/>
      <c r="L132" s="1073"/>
    </row>
    <row r="133" spans="2:12" ht="28.5" customHeight="1" x14ac:dyDescent="0.25">
      <c r="B133" s="1058" t="s">
        <v>453</v>
      </c>
      <c r="C133" s="1059"/>
      <c r="D133" s="1059"/>
      <c r="E133" s="1059"/>
      <c r="F133" s="1059"/>
      <c r="G133" s="1060"/>
      <c r="H133" s="1058" t="s">
        <v>454</v>
      </c>
      <c r="I133" s="1059"/>
      <c r="J133" s="1059"/>
      <c r="K133" s="1059"/>
      <c r="L133" s="1060"/>
    </row>
    <row r="134" spans="2:12" ht="28.5" customHeight="1" x14ac:dyDescent="0.25">
      <c r="B134" s="1058"/>
      <c r="C134" s="1059"/>
      <c r="D134" s="1059"/>
      <c r="E134" s="1059"/>
      <c r="F134" s="1059"/>
      <c r="G134" s="1060"/>
      <c r="H134" s="1058"/>
      <c r="I134" s="1059"/>
      <c r="J134" s="1059"/>
      <c r="K134" s="1059"/>
      <c r="L134" s="1060"/>
    </row>
    <row r="135" spans="2:12" ht="28.5" customHeight="1" x14ac:dyDescent="0.25">
      <c r="B135" s="1058"/>
      <c r="C135" s="1059"/>
      <c r="D135" s="1059"/>
      <c r="E135" s="1059"/>
      <c r="F135" s="1059"/>
      <c r="G135" s="1060"/>
      <c r="H135" s="1058"/>
      <c r="I135" s="1059"/>
      <c r="J135" s="1059"/>
      <c r="K135" s="1059"/>
      <c r="L135" s="1060"/>
    </row>
    <row r="136" spans="2:12" ht="28.5" customHeight="1" x14ac:dyDescent="0.25">
      <c r="B136" s="1058"/>
      <c r="C136" s="1059"/>
      <c r="D136" s="1059"/>
      <c r="E136" s="1059"/>
      <c r="F136" s="1059"/>
      <c r="G136" s="1060"/>
      <c r="H136" s="1058"/>
      <c r="I136" s="1059"/>
      <c r="J136" s="1059"/>
      <c r="K136" s="1059"/>
      <c r="L136" s="1060"/>
    </row>
    <row r="137" spans="2:12" ht="28.5" customHeight="1" x14ac:dyDescent="0.25">
      <c r="B137" s="1058"/>
      <c r="C137" s="1059"/>
      <c r="D137" s="1059"/>
      <c r="E137" s="1059"/>
      <c r="F137" s="1059"/>
      <c r="G137" s="1060"/>
      <c r="H137" s="1058"/>
      <c r="I137" s="1059"/>
      <c r="J137" s="1059"/>
      <c r="K137" s="1059"/>
      <c r="L137" s="1060"/>
    </row>
    <row r="138" spans="2:12" ht="28.5" customHeight="1" x14ac:dyDescent="0.25">
      <c r="B138" s="1058"/>
      <c r="C138" s="1059"/>
      <c r="D138" s="1059"/>
      <c r="E138" s="1059"/>
      <c r="F138" s="1059"/>
      <c r="G138" s="1060"/>
      <c r="H138" s="1058"/>
      <c r="I138" s="1059"/>
      <c r="J138" s="1059"/>
      <c r="K138" s="1059"/>
      <c r="L138" s="1060"/>
    </row>
    <row r="139" spans="2:12" ht="28.5" customHeight="1" x14ac:dyDescent="0.25">
      <c r="B139" s="1058"/>
      <c r="C139" s="1059"/>
      <c r="D139" s="1059"/>
      <c r="E139" s="1059"/>
      <c r="F139" s="1059"/>
      <c r="G139" s="1060"/>
      <c r="H139" s="1058"/>
      <c r="I139" s="1059"/>
      <c r="J139" s="1059"/>
      <c r="K139" s="1059"/>
      <c r="L139" s="1060"/>
    </row>
    <row r="140" spans="2:12" ht="28.5" customHeight="1" x14ac:dyDescent="0.25">
      <c r="B140" s="1058"/>
      <c r="C140" s="1059"/>
      <c r="D140" s="1059"/>
      <c r="E140" s="1059"/>
      <c r="F140" s="1059"/>
      <c r="G140" s="1060"/>
      <c r="H140" s="1058"/>
      <c r="I140" s="1059"/>
      <c r="J140" s="1059"/>
      <c r="K140" s="1059"/>
      <c r="L140" s="1060"/>
    </row>
    <row r="141" spans="2:12" ht="28.5" customHeight="1" x14ac:dyDescent="0.25">
      <c r="B141" s="1058"/>
      <c r="C141" s="1059"/>
      <c r="D141" s="1059"/>
      <c r="E141" s="1059"/>
      <c r="F141" s="1059"/>
      <c r="G141" s="1060"/>
      <c r="H141" s="1058"/>
      <c r="I141" s="1059"/>
      <c r="J141" s="1059"/>
      <c r="K141" s="1059"/>
      <c r="L141" s="1060"/>
    </row>
    <row r="142" spans="2:12" ht="28.5" customHeight="1" x14ac:dyDescent="0.25">
      <c r="B142" s="1058"/>
      <c r="C142" s="1059"/>
      <c r="D142" s="1059"/>
      <c r="E142" s="1059"/>
      <c r="F142" s="1059"/>
      <c r="G142" s="1060"/>
      <c r="H142" s="1058"/>
      <c r="I142" s="1059"/>
      <c r="J142" s="1059"/>
      <c r="K142" s="1059"/>
      <c r="L142" s="1060"/>
    </row>
    <row r="143" spans="2:12" ht="39.75" customHeight="1" x14ac:dyDescent="0.25">
      <c r="B143" s="1058"/>
      <c r="C143" s="1059"/>
      <c r="D143" s="1059"/>
      <c r="E143" s="1059"/>
      <c r="F143" s="1059"/>
      <c r="G143" s="1060"/>
      <c r="H143" s="1058"/>
      <c r="I143" s="1059"/>
      <c r="J143" s="1059"/>
      <c r="K143" s="1059"/>
      <c r="L143" s="1060"/>
    </row>
    <row r="144" spans="2:12" ht="45.75" customHeight="1" x14ac:dyDescent="0.25">
      <c r="B144" s="1058"/>
      <c r="C144" s="1059"/>
      <c r="D144" s="1059"/>
      <c r="E144" s="1059"/>
      <c r="F144" s="1059"/>
      <c r="G144" s="1060"/>
      <c r="H144" s="1058"/>
      <c r="I144" s="1059"/>
      <c r="J144" s="1059"/>
      <c r="K144" s="1059"/>
      <c r="L144" s="1060"/>
    </row>
    <row r="145" spans="2:12" ht="28.5" customHeight="1" x14ac:dyDescent="0.25">
      <c r="B145" s="1058"/>
      <c r="C145" s="1059"/>
      <c r="D145" s="1059"/>
      <c r="E145" s="1059"/>
      <c r="F145" s="1059"/>
      <c r="G145" s="1060"/>
      <c r="H145" s="1058"/>
      <c r="I145" s="1059"/>
      <c r="J145" s="1059"/>
      <c r="K145" s="1059"/>
      <c r="L145" s="1060"/>
    </row>
    <row r="146" spans="2:12" ht="47.25" customHeight="1" x14ac:dyDescent="0.25">
      <c r="B146" s="1058"/>
      <c r="C146" s="1059"/>
      <c r="D146" s="1059"/>
      <c r="E146" s="1059"/>
      <c r="F146" s="1059"/>
      <c r="G146" s="1060"/>
      <c r="H146" s="1058"/>
      <c r="I146" s="1059"/>
      <c r="J146" s="1059"/>
      <c r="K146" s="1059"/>
      <c r="L146" s="1060"/>
    </row>
    <row r="147" spans="2:12" ht="22.5" customHeight="1" x14ac:dyDescent="0.25">
      <c r="B147" s="1068" t="s">
        <v>1327</v>
      </c>
      <c r="C147" s="1069"/>
      <c r="D147" s="1069"/>
      <c r="E147" s="1069"/>
      <c r="F147" s="1069"/>
      <c r="G147" s="1069"/>
      <c r="H147" s="1069"/>
      <c r="I147" s="1069"/>
      <c r="J147" s="1069"/>
      <c r="K147" s="1069"/>
      <c r="L147" s="1070"/>
    </row>
    <row r="148" spans="2:12" ht="25.5" customHeight="1" thickBot="1" x14ac:dyDescent="0.3">
      <c r="B148" s="1071"/>
      <c r="C148" s="1072"/>
      <c r="D148" s="1072"/>
      <c r="E148" s="1072"/>
      <c r="F148" s="1072"/>
      <c r="G148" s="1072"/>
      <c r="H148" s="1072"/>
      <c r="I148" s="1072"/>
      <c r="J148" s="1072"/>
      <c r="K148" s="1072"/>
      <c r="L148" s="1073"/>
    </row>
  </sheetData>
  <mergeCells count="42">
    <mergeCell ref="B131:G132"/>
    <mergeCell ref="H131:L132"/>
    <mergeCell ref="B133:G146"/>
    <mergeCell ref="H133:L146"/>
    <mergeCell ref="B147:L148"/>
    <mergeCell ref="B101:G114"/>
    <mergeCell ref="H101:L114"/>
    <mergeCell ref="B115:G116"/>
    <mergeCell ref="H115:L116"/>
    <mergeCell ref="B117:G130"/>
    <mergeCell ref="H117:L130"/>
    <mergeCell ref="B84:G84"/>
    <mergeCell ref="H84:L84"/>
    <mergeCell ref="B85:G98"/>
    <mergeCell ref="H85:L98"/>
    <mergeCell ref="B99:G100"/>
    <mergeCell ref="H99:L100"/>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L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36" orientation="portrait" r:id="rId1"/>
  <headerFooter>
    <oddFooter>Página &amp;P&amp;R&amp;A</oddFooter>
  </headerFooter>
  <rowBreaks count="3" manualBreakCount="3">
    <brk id="69" min="1" max="11" man="1"/>
    <brk id="83" min="1" max="11" man="1"/>
    <brk id="148" min="1" max="11"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10</vt:i4>
      </vt:variant>
    </vt:vector>
  </HeadingPairs>
  <TitlesOfParts>
    <vt:vector size="20"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2021-01-06T20:22:16Z</dcterms:modified>
</cp:coreProperties>
</file>